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184"/>
  <workbookPr/>
  <bookViews>
    <workbookView xWindow="65521" yWindow="65521" windowWidth="9720" windowHeight="6090" tabRatio="602" firstSheet="4" activeTab="5"/>
  </bookViews>
  <sheets>
    <sheet name="JUNTA FNC97" sheetId="1" r:id="rId1"/>
    <sheet name="JUNTA FNC97-1" sheetId="2" r:id="rId2"/>
    <sheet name="JUNTA FNC 97-2" sheetId="3" r:id="rId3"/>
    <sheet name="INFORME CONTRALORIA 98" sheetId="4" r:id="rId4"/>
    <sheet name="Hoja1" sheetId="5" r:id="rId5"/>
    <sheet name="REPORTE DE EMERGENCIAS" sheetId="6" r:id="rId6"/>
    <sheet name="DETALLE APOYO F.N.C." sheetId="7" r:id="rId7"/>
  </sheets>
  <definedNames>
    <definedName name="_xlnm._FilterDatabase" localSheetId="6" hidden="1">'DETALLE APOYO F.N.C.'!$A$2:$D$283</definedName>
    <definedName name="_xlnm._FilterDatabase" localSheetId="5" hidden="1">'REPORTE DE EMERGENCIAS'!$A$2:$AC$558</definedName>
    <definedName name="_xlnm.Print_Area" localSheetId="3">'INFORME CONTRALORIA 98'!$A$3:$AC$443</definedName>
    <definedName name="_xlnm.Print_Area" localSheetId="5">'REPORTE DE EMERGENCIAS'!$A$6:$AB$522</definedName>
    <definedName name="_xlnm.Print_Titles" localSheetId="3">'INFORME CONTRALORIA 98'!$1:$2</definedName>
    <definedName name="_xlnm.Print_Titles" localSheetId="5">'REPORTE DE EMERGENCIAS'!$A:$D,'REPORTE DE EMERGENCIAS'!$1:$2</definedName>
  </definedNames>
  <calcPr fullCalcOnLoad="1"/>
  <pivotCaches>
    <pivotCache cacheId="7" r:id="rId8"/>
    <pivotCache cacheId="9" r:id="rId9"/>
    <pivotCache cacheId="6" r:id="rId10"/>
    <pivotCache cacheId="10" r:id="rId11"/>
  </pivotCaches>
</workbook>
</file>

<file path=xl/sharedStrings.xml><?xml version="1.0" encoding="utf-8"?>
<sst xmlns="http://schemas.openxmlformats.org/spreadsheetml/2006/main" count="5179" uniqueCount="916">
  <si>
    <t>ZONA DE MARGUCHEZ,CANGREJAL, CAÑITAS, PLAYON, DEL TOTUMO Y CUSAGUI</t>
  </si>
  <si>
    <t>SOCHA</t>
  </si>
  <si>
    <t>SOLICITARON APOYO A GRUPO DE INCENDIOS FORESTALES DE MINAMBIENTE.</t>
  </si>
  <si>
    <t>DUITAMA</t>
  </si>
  <si>
    <t>FLORIDA</t>
  </si>
  <si>
    <t>AFECTADAS VIAS VEREDALES</t>
  </si>
  <si>
    <t>EL CRE DESPLAZO MAQUINARIA PARA EL DESTAPONAMIENTO E LAS VIAS.</t>
  </si>
  <si>
    <t>BARRIO ANON.. EL CLE REALIZO EVACUACION Y ATENDIO EN PRIMERA INSTANCIA. SOLICITAN APOYO. SE OFICIO A CRE SOLICITANDO QUE SEA ATENDIDO A NIVEL LOCAL Y REGIONAL</t>
  </si>
  <si>
    <t>GIRO PARA COMBUSTIBLE PARA DRAGADO DE RIOS ORTEGA Y CUCUANA.</t>
  </si>
  <si>
    <t>SE RECIBIO COPIA DEL INFORME REMITIDO POR EL CONCEJO MUNICIPAL AL CRE.</t>
  </si>
  <si>
    <t>EL CRE REPORTA HASTA LO QUE VA CORRIDO DEL AÑO EN TOTAL 85 INCENDIOS Y 1137 HAS. AFECTADAS.</t>
  </si>
  <si>
    <t>CASANARE</t>
  </si>
  <si>
    <t>EL CRE REPORA 143 EVENTOS EN TOTAL 6477 HAS AFECTADAS.</t>
  </si>
  <si>
    <t>CESAR</t>
  </si>
  <si>
    <t>RIO DE ORO</t>
  </si>
  <si>
    <t>APOYO CON MOTOBOMBAS, MANGUERAS Y ACCESORIOS.</t>
  </si>
  <si>
    <t>CUNDINAMARCA</t>
  </si>
  <si>
    <t>LENGUAZAQUE</t>
  </si>
  <si>
    <t>AFECTADAS 700 HAS</t>
  </si>
  <si>
    <t>GACHETA</t>
  </si>
  <si>
    <t>REPORTE ADICIONAL DE CRUZ ROJA</t>
  </si>
  <si>
    <t>INCENDIO DE GRAN MAGNITUD, SE INICIO EL 13 DE ENERO. EL 4 DE FEBRERO SE TRABAJABA EN LA EXTINCIÓN EL CLE HA INVERTIDO $7.000.000 EN EL OPERATIVO.</t>
  </si>
  <si>
    <t>CHOCO</t>
  </si>
  <si>
    <t>BOJAYA</t>
  </si>
  <si>
    <t>BAHIA SOLANO</t>
  </si>
  <si>
    <t>MAREJADAS</t>
  </si>
  <si>
    <t>CAIDA DEL PUENTE ONETI. SE ESPERA REPORTE DEL CRE</t>
  </si>
  <si>
    <t>CONDOTO</t>
  </si>
  <si>
    <t xml:space="preserve">INUNDACION RIO CONDOTO. SE ESPER REPORTE SOBRE AFECTACIÓN </t>
  </si>
  <si>
    <t>NOVITA</t>
  </si>
  <si>
    <t>INUNDACION RIO TAMANA. SE ESPERA REPORTE DE AFECTACION</t>
  </si>
  <si>
    <t>ITSMINA</t>
  </si>
  <si>
    <t>INUNDACION RIO SAN JUAN Y ANDAGOYA. SE ESPERA REPORTE DE AFECTACIÓN.</t>
  </si>
  <si>
    <t>CANTON DE SAN PABLO</t>
  </si>
  <si>
    <t>HUILA</t>
  </si>
  <si>
    <t>AFECTADAS 798 HAS EN LO QUE VA CORRIDO DEL AÑO</t>
  </si>
  <si>
    <t>EPIDEMIA</t>
  </si>
  <si>
    <t>EL DEPARTAMENTO ESTA DECLARADO EN ALERTA AMARILLA</t>
  </si>
  <si>
    <t>AFECTADAS 30258 HAS DE CAFÉ, 6020 HAS DE ARROZ, 2467 HAS DE MAIZ, Y 7896 HAS DE PRODUCTOS DE PANCOGER Y SEMOVIENTES</t>
  </si>
  <si>
    <t>LA GUAJIRA</t>
  </si>
  <si>
    <t>WAYUU</t>
  </si>
  <si>
    <t>QUINDIO</t>
  </si>
  <si>
    <t>ARMENIA</t>
  </si>
  <si>
    <t>SOBRECAMAS</t>
  </si>
  <si>
    <t>LEBRIJA</t>
  </si>
  <si>
    <t>BARRIOS: ROSALES, CAMPOALEGRE, SAN JORGE I Y II, LA POPA, SAN JOSE, LAURELES Y PUENTE LAS RAICES. INUN.Q. AGUILA Y LAS RAICES. CRE APOYO CON $10.000.000, LA CRUZ ROJA APOYO CON MENAJES.</t>
  </si>
  <si>
    <t>RIONEGRO</t>
  </si>
  <si>
    <t>REPORTE DE LA DEFENSA CIVIL. SITIO PUERTO AMOR</t>
  </si>
  <si>
    <t>SAN ANDRES</t>
  </si>
  <si>
    <t>VALLE</t>
  </si>
  <si>
    <t>TRUJILLO</t>
  </si>
  <si>
    <t>APOYO PARA RECONSTRUCCION DE VIVIENDAS.. CORREGIMIENTO PUNTA DE BLANCO</t>
  </si>
  <si>
    <t>COMUNIDAD EMBERA CHAMI, FINCA LA GUANIRA V. LA BOHEMIA</t>
  </si>
  <si>
    <t>NO LES ES POSIBLE CULTIVAR</t>
  </si>
  <si>
    <t>BUENAVENTURA</t>
  </si>
  <si>
    <t>CRE REPORTO 12 INCENDIOS EN LOS MUNICIPIOS DE DON MATIAS, YARUMAL. MARINILLA, BELLOS,MUTATA, RIONEGRO, CAREPA, ENTRERIOS, SAN JERONIMO, TURBO, BARBOSA.</t>
  </si>
  <si>
    <t>EL RETIRO</t>
  </si>
  <si>
    <t>AFECTADAS 47 HAS.</t>
  </si>
  <si>
    <t>ATENDIO CLE Y CRE.</t>
  </si>
  <si>
    <t>BOLIVAR</t>
  </si>
  <si>
    <t>VILLANUEVA</t>
  </si>
  <si>
    <t>COMBITA</t>
  </si>
  <si>
    <t>AFECTADAS 25 HAS. DE PASTO Y RASTROJO</t>
  </si>
  <si>
    <t>PAIPA</t>
  </si>
  <si>
    <t>AFECTADAS 120 HAS DE PASTOS Y PINOS</t>
  </si>
  <si>
    <t>PAILITAS</t>
  </si>
  <si>
    <t>GIRO PARA LA ATENCIÓN DE LA EMERGENCIA</t>
  </si>
  <si>
    <t>MOÑITOS</t>
  </si>
  <si>
    <t>LORICA</t>
  </si>
  <si>
    <t>PUERTO SALGAR</t>
  </si>
  <si>
    <t>V. RAYADERO Y V. PUERTO ROJO. SE SOLIITO A CRE REVISAR LA SITUACION.</t>
  </si>
  <si>
    <t xml:space="preserve">AFECTADAS CABECERA MUNICIPAL, , CORREGIMIENTOS DE COQUI, PARTADO, JURUBIRA. SOLICITAN APOYO.  ENRIESGO 140 VIVIENDAS. </t>
  </si>
  <si>
    <t xml:space="preserve">EL CLE REALIZO LA ATENCION INMEDIATA. SOLICTAN MENAJES Y ENSERES. </t>
  </si>
  <si>
    <t>ICONONZO</t>
  </si>
  <si>
    <t>VEREDA SAN JOSE DE GUATIMBOL. PENDIENTE DE CENSOS Y REQUERIMIENTOS.</t>
  </si>
  <si>
    <t>RESGUARDO INDÍGENA TRIUNFO CRISTAL PAEZ, COMUNIDADES LOS CALEÑOS Y SAN JAUNITO, VEREDA DE GRANATES. SOLICITAN REUBICACIÓN. SE ORIENTO SOBRE PROYECTO A INURBE</t>
  </si>
  <si>
    <t>RIO SESEGO. REPORTE DEL CRE PERO NO ENVIASN CENSOS. SOLICITAN MENAJES.</t>
  </si>
  <si>
    <t>GUAVIARE</t>
  </si>
  <si>
    <t>SAN JOSE</t>
  </si>
  <si>
    <t>AFECT.AEROPUERTO, FLUIDO ELECTRICO Y POSTES DE TELEFONO</t>
  </si>
  <si>
    <t>URUMITA</t>
  </si>
  <si>
    <t>CIENAGA GRANDE</t>
  </si>
  <si>
    <t>CONTAMINACION</t>
  </si>
  <si>
    <t xml:space="preserve">TOTAL </t>
  </si>
  <si>
    <t>EL 10 DE FEB.SE ENVIARON 1000 MERCADOS PARA BUENAVISTA, TROJAS DE CATACA, NUEVA VENECIA Y EL 11 DE MARZO 500 MERCADOS PARA PUEBLO NUEVO, ISLA DEL ROSARIO, PALMIRA, TASAJERA Y NUEVA FRONTERA.</t>
  </si>
  <si>
    <t>TUMACO</t>
  </si>
  <si>
    <t>PAPEL H.</t>
  </si>
  <si>
    <t>PLASTICO NEGRO</t>
  </si>
  <si>
    <t>LA TOLA</t>
  </si>
  <si>
    <t>SOLICITAN LAMINAS DE ZINC</t>
  </si>
  <si>
    <t>SAN JUAN DE LA COSTA</t>
  </si>
  <si>
    <t>ISLA BELLA VISTA. SOLICITAN LAMINAS DE ZINC.</t>
  </si>
  <si>
    <t>PUTUMAYO</t>
  </si>
  <si>
    <t>MOCOA</t>
  </si>
  <si>
    <t>PERDIDA DE CULTIVOS</t>
  </si>
  <si>
    <t>C. YUNGUILLLO. RIO TILINGUARA</t>
  </si>
  <si>
    <t>MONTENEGRO</t>
  </si>
  <si>
    <t>C. PUEBLO TAPAO</t>
  </si>
  <si>
    <t>CAIMITO, SUCRE, BUENAVISTA, COROZAL, GALERAS, SINCE, MORROA</t>
  </si>
  <si>
    <t>SE ENVIARON DOS TANQUES TERRA TANK.</t>
  </si>
  <si>
    <t>TOLIMA</t>
  </si>
  <si>
    <t>LIBANO</t>
  </si>
  <si>
    <t>B.ISIDRO PARRA, RAMON MARIA ARANA, V.CAMPO ALEGRE CLE Y CRE ATENDIERON EMERGENCIA. SOLICITAN MATERIALES DE CONSTRUCCION</t>
  </si>
  <si>
    <t>AFECTADOS POZOS SEPTICOS, DEPOSITOS DE AGUA POTABLE Y CULTIVOS</t>
  </si>
  <si>
    <t>C. JUANCHACO</t>
  </si>
  <si>
    <t>B. MURO YUSTI</t>
  </si>
  <si>
    <t>SEVILLA</t>
  </si>
  <si>
    <t>AVALANCHA</t>
  </si>
  <si>
    <t>PAZ DEL RIO, SOCHA Y TASCO. REPRESAMIENTO Q. LA CHAPA Y RIO CHICAMOCHA. GIRO PARA ALQUILER DE MAQUINARIA</t>
  </si>
  <si>
    <t>BRICEÑO</t>
  </si>
  <si>
    <t>AFECTADOS VILLA ROSA, ROTINET Y REPELON.</t>
  </si>
  <si>
    <t xml:space="preserve">APOYO ALIMENTARIO PARA LA MOJANA (200 MERCADOS), SAN JORGE (200 MERCADOS), SABANAS (200 MERCADOS), MONTES DE MARIA (200 MERCADOS), GOLFO DE MORROSQUILLO (200 MERCADOS). EL 16 DE DICIEMBRE SE REALIZO UN APOYO ADICIONAL PARA LOS MUNICIPIOS DE CAIMITO, SAN ONOFRE, GUARANDA, SINCELEJO, SUCRE, COLOSO, GALERAS, SAN BENITO ABBAD, COROZAL Y MAJAGUAL. </t>
  </si>
  <si>
    <t>SITIO PIEDRAS GORDAS. QUEBRADA LA QUEMADA. INCOMUNICADOS MUN. FLORIAN Y TUNUNGUA. CRE DESPLAZO MAQUINARIA. SE REQUIERE CONSTRUCCION DE PUENTE PEATONAL</t>
  </si>
  <si>
    <t>CUBARA</t>
  </si>
  <si>
    <t>EROSION</t>
  </si>
  <si>
    <t>AFECTADA MARGEN DERECHA CASCO URBANO</t>
  </si>
  <si>
    <t>RIO COBARIA. SE REQUIERE CONSTRUCCION DE DIQUE.</t>
  </si>
  <si>
    <t>PUERTO BOYACA</t>
  </si>
  <si>
    <t>ISLAS PERALES, EL SILENCIO, GUARANI, PUERTO BERRIO. CLE Y CRE COORDINARON LABORES</t>
  </si>
  <si>
    <t>QUIPAMA</t>
  </si>
  <si>
    <t>DAÑOS EN LINEAS TELEFONICAS Y ENERGIA</t>
  </si>
  <si>
    <t>B. LAS FERIAS. INGEOMINAS RECOMENDO REUBICACION DE FAMILIAS.</t>
  </si>
  <si>
    <t>MUZO</t>
  </si>
  <si>
    <t>VEREDAS TOLU, LA TIGRA, MIRABEL. EL CLE ATENDIO LA EMERGENCIA, SOLICITAN MERCADOS Y LAMINAS DE ZINC. SE SOLICITO EL ACTA Y CENSOS,  PUES NO ENVIAN SINO LA HOJA DEL REPORTE</t>
  </si>
  <si>
    <t>APOYO PARA CANALIZACION Y RECTIFICACION DEL ARROYO ALFEREZ</t>
  </si>
  <si>
    <t>B. SAN MARCOS Y B. SANTANA. DESBORDADA Q. LA CHAMA. EL CRE DESPLAZO COMISION, CRC APOYO CON MENAJES. CLE ADELANTA LABORES DE LIMPIEZA.</t>
  </si>
  <si>
    <t>CAQUETA</t>
  </si>
  <si>
    <t>FLORENCIA</t>
  </si>
  <si>
    <t>DESB.RIOS HACHA Y Q. LA PERDIZ..REPORTE TELEFONICO. SE ESPERA EVALUACION DEL CLE.</t>
  </si>
  <si>
    <t>CAUCA</t>
  </si>
  <si>
    <t>LOPEZ DE MICAY</t>
  </si>
  <si>
    <t>PERDIDA DE CULTIVOS DE BANANO, CAÑA DE AZUCAR Y FRUTALES.</t>
  </si>
  <si>
    <t>V. JUAN COBO, BOCAGRANDE, EL COBAO, SAN FRANCISCO DE LA VUELTA. EL CLE APOYO CON 65 MERCADOS COMBUSTIBLE Y MEDICAMENTOS.</t>
  </si>
  <si>
    <t>EL CLE ESTIMA QUE 1500 VIVIENDAS PODRIAN VERSE AFECTADAS Y 80 HAS.</t>
  </si>
  <si>
    <t>C. SUCRE, V. EL TESORO . REPRESAMINETO Q. PEÑA Y RIO MAZAMORRAS. RECOMIENDAN INSTALACION DE PUESTO DE OBSERVACION SE REQUIERE REUBICAR 15 FAMILIAS.</t>
  </si>
  <si>
    <t>TAMALAMEQUE</t>
  </si>
  <si>
    <t>ESCUELAS EL LENAL, LAS RIVERAS, SIRIA, EL CINCO, LOS NARANJOS, PALMIRA.</t>
  </si>
  <si>
    <t>SECTOR PUEBLO NUEVO, TOTUMITO, LAS RIBERAS, EL LEÑAL, LOS NARANJOS, SIRIA, EL CINCO Y CABECERA. LAS FAMILIAS SE ENCUENTRAN EN CASA DE AMIGOS.</t>
  </si>
  <si>
    <t>CERRO DE SAN ANTONIO</t>
  </si>
  <si>
    <t>REPORTE DE LA SECRETARIA DE SALUD DEL TOLIMA. BARRIOS ARCABUCO, TIERRA FIRME, VALPARAISO LA GAVIOTA. LA CRUZ ROJA ENVIO REPORTE DE 84 FAMILIAS Y SOLICITUD DE APOYO, PERO SE CONFIRMO CON EL CLE QUE LA EMERGENCIA HABIA SIDO ATENDIDA.</t>
  </si>
  <si>
    <t>TIERRALTA, SAN CARLOS</t>
  </si>
  <si>
    <t>DESLIZAMIENTO RIO SINU</t>
  </si>
  <si>
    <t>ZIPAQUIRA</t>
  </si>
  <si>
    <t>REPORTE DE D.C.C. LAS FAMILIAS SE ALBERGAN EN LA IGLESIA</t>
  </si>
  <si>
    <t>NILO</t>
  </si>
  <si>
    <t>RIO PANGUEI. REPORTE DE CRC Y DCC.</t>
  </si>
  <si>
    <t>CRE ENTREGO MERCADOS</t>
  </si>
  <si>
    <t>QUIBDO</t>
  </si>
  <si>
    <t>SAN JERONIMO</t>
  </si>
  <si>
    <t>SESEGO</t>
  </si>
  <si>
    <t>BAGADO</t>
  </si>
  <si>
    <t>PERDIDA DE 137 HAS DE CULTIVOS</t>
  </si>
  <si>
    <t>SANTA MARIA</t>
  </si>
  <si>
    <t>C. EL CISNE, ANDES, SAN JOSE. APOYO PARA 500 GALONES E GASOLINA.</t>
  </si>
  <si>
    <t>TERUEL</t>
  </si>
  <si>
    <t>DAÑOS EN ENERGIA</t>
  </si>
  <si>
    <t>SITIOS. LA MINA, GUALPI, HERRERAS, ARRAYANES, RIO IQUIRA, PORTACHELO, PEDERNAL, CORRALES, PLANADASAPOYO PARA ADQUISICION DE GASOLINA PARA ADECUACIÓN VIAL</t>
  </si>
  <si>
    <t>NATAGA</t>
  </si>
  <si>
    <t>RIOHACHA</t>
  </si>
  <si>
    <t>NO EVIARON REPORTE DE AFECTACION</t>
  </si>
  <si>
    <t>BARBACOAS</t>
  </si>
  <si>
    <t>RIO GUEMANBI</t>
  </si>
  <si>
    <t>OLAYA HERRERA</t>
  </si>
  <si>
    <t>CUCUTA</t>
  </si>
  <si>
    <t>B. SAN RAFAEL. REQUIEREN APOYO PARA RECONSTR. DE VIVIENDA</t>
  </si>
  <si>
    <t>GENOVA</t>
  </si>
  <si>
    <t>CABECERA, V. SAN JUAN, V. RIO GRIS</t>
  </si>
  <si>
    <t>B. ISIDRO PARRA, B. RAMON MARIA ARANA V. CAMPO ALEGRE</t>
  </si>
  <si>
    <t>CALI</t>
  </si>
  <si>
    <t>RIOS CALI Y AGUACATAL</t>
  </si>
  <si>
    <t>YUMBO</t>
  </si>
  <si>
    <t>LAS FAMILIAS FUERON ALBERGADAS EN EL COLISEO</t>
  </si>
  <si>
    <t>AMAZONAS</t>
  </si>
  <si>
    <t>REPORTE DEL CRE. LETICIA, PUERTO NARIÑO Y SECTOR RIO PUTUMAYO. INUNDACION RIOS AMAZONAS, PUTUMAYO CAQUETA Y APAPORIS. GIRO PARA ADQUISICION DE 1000 LAMINAS DE ZINC.</t>
  </si>
  <si>
    <t>ANGELOPOLIS</t>
  </si>
  <si>
    <t>EL CLE DECLARO ESTADO DE EMERGENCIA. NO HAY REPORTE DE AFECTACION.</t>
  </si>
  <si>
    <t>PUERTO NARE</t>
  </si>
  <si>
    <t>REPORTE DE D.C.C.</t>
  </si>
  <si>
    <t>FREDONIA</t>
  </si>
  <si>
    <t>LA PINTADA</t>
  </si>
  <si>
    <t>PUERTO BERRIO</t>
  </si>
  <si>
    <t>REPORTE DE CRC.</t>
  </si>
  <si>
    <t>ABRIAQUI</t>
  </si>
  <si>
    <t>V. EL CEJEN. REPORTE DE CRC</t>
  </si>
  <si>
    <t>CIUDAD BOLIVAR</t>
  </si>
  <si>
    <t>MERCADERES</t>
  </si>
  <si>
    <t>PERDIDA DE CULTIVOS Y TRAPICHES.</t>
  </si>
  <si>
    <t>VEREDAS LOS PLANES Y SAMARIA DEL CORREGIMEITNO DE ESMERALDAS. SE SUGIERE LA REUBICACION DE UNAS VIVIENDAS (NO CUANTIFICAN).</t>
  </si>
  <si>
    <t>LA PRIMERA DAMA DEL MUNICIPIO INFORMA SOBRE 498 FAMILIAS DESPLAZADAS POR LA VIOLENCIA Y AFECTADAS POR LAS INUNDACIONES. SOLICITAN ALIMENTOS.</t>
  </si>
  <si>
    <t>CHAPARRAL</t>
  </si>
  <si>
    <t>AMBALEMA</t>
  </si>
  <si>
    <r>
      <t>**</t>
    </r>
    <r>
      <rPr>
        <b/>
        <i/>
        <sz val="8"/>
        <rFont val="Arial"/>
        <family val="2"/>
      </rPr>
      <t>ACTUALIZACION DE PRECIOS UNITARIOS POR NUEVAS ADQUISICIONES</t>
    </r>
  </si>
  <si>
    <t>CUCHARA ACERO</t>
  </si>
  <si>
    <t>LA ESTRELLA</t>
  </si>
  <si>
    <t>C. LA TABLAZA</t>
  </si>
  <si>
    <t>CALDAS</t>
  </si>
  <si>
    <t>V. LA SINIFANA</t>
  </si>
  <si>
    <t>CAUCACIA</t>
  </si>
  <si>
    <t>INUNDACION RIO CAUCA. 5 BARRIOS AFECTADOS</t>
  </si>
  <si>
    <t>NECHI</t>
  </si>
  <si>
    <t>AFECTADOS 9 SECTORES</t>
  </si>
  <si>
    <t>VENECIA</t>
  </si>
  <si>
    <t>MEDELLIN</t>
  </si>
  <si>
    <t>ATLANTICO</t>
  </si>
  <si>
    <t>MALAMBO</t>
  </si>
  <si>
    <t>ARROYO EL SAPO</t>
  </si>
  <si>
    <t>BARRANQUILLA, SOLEDAD, USIACURI, JUAN DE ACOSTA, SANTA LUCIA, CAMPO DE LA CRUZ, SUAN, CANDELARIA, PONEDERA, MANATI, PALMAR DE VARELA, SANTO TOMAS, SABANAGRANDE, MALAMBO, PIOJO, TUBARA</t>
  </si>
  <si>
    <t>ARENAL</t>
  </si>
  <si>
    <t>PERDIDA DE ENSERES</t>
  </si>
  <si>
    <t>EL PEÑON</t>
  </si>
  <si>
    <t>C. JAPON. INUN. RIO MAGDALENA Y BRAZUELO PAPAYAL. REPORTE TELEFONICO.</t>
  </si>
  <si>
    <t>MORALES</t>
  </si>
  <si>
    <t>REPORTE DE DCC</t>
  </si>
  <si>
    <t>CANTAGALLO</t>
  </si>
  <si>
    <t>SIMITI</t>
  </si>
  <si>
    <t>SAN JACINTO</t>
  </si>
  <si>
    <t xml:space="preserve">AFECTADAS 2000 HAS DE CULTIVOS DE ARROZ, YUCA, SORGO, MAIZ Y ANIMALES </t>
  </si>
  <si>
    <t>SOLICITAN APOYO CON MEDICAMENTOS. SE REMITE A MINSALUD.</t>
  </si>
  <si>
    <t>AFECTADOS CULTIVOS Y ENSERES</t>
  </si>
  <si>
    <t>ISLA PERALES VIEJO</t>
  </si>
  <si>
    <t>BARRIO EL RECUERDO, LA ESPERANZA, Y LAS FERIAS</t>
  </si>
  <si>
    <t>INU.QUEBRADA SECA. INCOMUNICADO BRICEÑO Y CHIQUINQUIRA POR CAIDA DE PUENTE.</t>
  </si>
  <si>
    <t>PROVINCIA DE GUTIERREZ</t>
  </si>
  <si>
    <t>AVALANCHA RIOS NEVADO, CHISCANO Y MOSCOS. AFECTADOS PANQUEBA, ESPINO GUICAN, CHISCAS, GUACAMAYAS, SAN MATEO Y TIPACOQUE. EL CRE REALIZO EVALUACION Y EL APOYO FUE GENERAL PARA ESTOS MUNICIPIOS. A CONTINUACION SE DESCRIBE LA AFECTACION</t>
  </si>
  <si>
    <t>PANQUEBA</t>
  </si>
  <si>
    <t>EL ESPINO</t>
  </si>
  <si>
    <t>GUICAN</t>
  </si>
  <si>
    <t>CHISCAS</t>
  </si>
  <si>
    <t>GUACAMAYAS</t>
  </si>
  <si>
    <t>SAN MATEO</t>
  </si>
  <si>
    <t>TIPACOQUE</t>
  </si>
  <si>
    <t>AFECTADO CANAL DE RIEGO, PERDIDA DE CULTIVOS</t>
  </si>
  <si>
    <t>PERDIDA DE COCECHAS. AFECTADO CANAL DE RIEGO</t>
  </si>
  <si>
    <t>PERDIDA DE CULTIVOS Y ANIMALES</t>
  </si>
  <si>
    <t>AFECTADO CANAL DE IRRIGACION</t>
  </si>
  <si>
    <t>V. APOSENTOS, SAN ANTONIO, SALINITAS,</t>
  </si>
  <si>
    <t>V. SAN ROQUE, SAN LUIS, CARRASPOSAL, EL MOSCO</t>
  </si>
  <si>
    <t>V. LAS CAÑAS, LAS MERCEDES, CASIANO, TAUCASI.</t>
  </si>
  <si>
    <r>
      <t xml:space="preserve">REPORTE DE CRE. SOLICITAN APOYO. </t>
    </r>
    <r>
      <rPr>
        <sz val="8"/>
        <rFont val="Arial"/>
        <family val="2"/>
      </rPr>
      <t>PENDIENTE APOYO</t>
    </r>
  </si>
  <si>
    <t>NUQUI</t>
  </si>
  <si>
    <t>MARQUETALIA</t>
  </si>
  <si>
    <t>EL CRE APORTO $4.000.000</t>
  </si>
  <si>
    <t>MARMATO</t>
  </si>
  <si>
    <t>EL CRE APORTO $2.000.000</t>
  </si>
  <si>
    <t>DORADA</t>
  </si>
  <si>
    <t>SALAMINA</t>
  </si>
  <si>
    <t>GIRO PARA COMBUSTIBLE PARA MOTOBOMBAS PARA ESAGUE.</t>
  </si>
  <si>
    <t>AFECTADAS CABECERA MUNICIPAL Y VEREDAS PUERTO ISABEL, CENTRO ALEGRE, LAS FLORES, LA ENVIDIA, TRES CRUCES, GUACAMAYO, LA GOLOSINA, NUEVA ESPERANAZ, SANTAFE, PROVIDENCIA Y BUENOS AIRES.</t>
  </si>
  <si>
    <t>SAN JACINTO DEL CAUCA</t>
  </si>
  <si>
    <t>SAN FERNANDO</t>
  </si>
  <si>
    <t>EL CRE APOYO CON $5.000.000</t>
  </si>
  <si>
    <t>YOPAL</t>
  </si>
  <si>
    <t>RIO UPIA. V. EL SICAL, CAIMAN ALTO Y CAIMAN BAJO. NO HAY REPORTE DE AFECTACION.</t>
  </si>
  <si>
    <t>PUERTO TEJADA</t>
  </si>
  <si>
    <t>DESTRUC. MUROS DE CONTENCION</t>
  </si>
  <si>
    <t>URIBIA</t>
  </si>
  <si>
    <t xml:space="preserve">RIOS PALO Y DESBARATADO.  BARRIO LAS DOS AGUAS. REPORTO EL CLE </t>
  </si>
  <si>
    <t>MIRANDA</t>
  </si>
  <si>
    <t>RIOS GUENGUE Y DESBARATADO. VEREDAS: TIERRALTA, MUNDA, LINDOSA, ALPES, OCTAVAL, DANTAS, CALERA, SAN ANDRES CILIA. SE APOYO CON EL ENVIO DE UN TERRA TANK</t>
  </si>
  <si>
    <t>CORINTO</t>
  </si>
  <si>
    <t>RIO SANTODOMINGO. V.BARRANCO. REPORTE DEL CRE</t>
  </si>
  <si>
    <t>TORIBIO</t>
  </si>
  <si>
    <t>C. SANTO DOMINGO</t>
  </si>
  <si>
    <t>BUENOS AIRES</t>
  </si>
  <si>
    <t>DAÑOS EN VIAS INTERVEREDALES</t>
  </si>
  <si>
    <t>DESLIZ. SOBRE QUEBRADA GUAYABAL. VEREDA PAVITAS</t>
  </si>
  <si>
    <t>V. TESORO</t>
  </si>
  <si>
    <t>RIO MAGDALENA</t>
  </si>
  <si>
    <t>LA GLORIA</t>
  </si>
  <si>
    <t>EL CRE REPORTA 200 VIVIENDAS EN RIESGO</t>
  </si>
  <si>
    <t>SAN MARTIN</t>
  </si>
  <si>
    <t>PERDIDA DE 1080 HAS DE CULTIVOS, AVALUADOS EN $660.160.000, PERDIDA DE GANADO, ESPE CIES MENORES Y MAQUINARIA</t>
  </si>
  <si>
    <t>RIO LEBRIJA. CORREG.TERRAPLEN, PUERTO OCULTO, V. PITA, LIMON, LA PERRA. EL CLE ESTIMA UN TOTAL DE PERDIDAS DE $1.000.000.000</t>
  </si>
  <si>
    <t>GAMARRA</t>
  </si>
  <si>
    <t>REPORTE DEL CLE</t>
  </si>
  <si>
    <t>VILLARRICA</t>
  </si>
  <si>
    <t>DESBORDAMIENTO QUEBRADAS GUANACAS, CRISTALINA, LAJA, Y ORIENTE. LAS FAMILIAS SE ENCUENTRAN ALBERGADAS EN EL COLEGIO, LA ESCUELA Y LA CASA MUNICIPAL. REPORTE DE CRUZ ROJA.</t>
  </si>
  <si>
    <t>DESBORDAMIENTO QUEBRADA LA MOSCA. NO ENVIAN CENSOS</t>
  </si>
  <si>
    <t xml:space="preserve">B. SAN ANTONIO, ACEITUNOS, LA PALOMERA, FATIMA, EL CABLE, C.  PUERTO VIEJO, C. CASCAJAL, C. EL CONTENTO. EVACUADAS 20 FAMILIAS. </t>
  </si>
  <si>
    <t>PUERTO LIBERTADOR</t>
  </si>
  <si>
    <t>RIO SAN JORGE</t>
  </si>
  <si>
    <t>APARTADA</t>
  </si>
  <si>
    <t>RIO SAN JORGE. C.LA BALSA Y EL PUENTE. REPORTE DEL CRE</t>
  </si>
  <si>
    <t>TIERRALTA</t>
  </si>
  <si>
    <t xml:space="preserve">COLERA. SE REMITIO A MINSALUD. </t>
  </si>
  <si>
    <t>LOS CORDOBAS</t>
  </si>
  <si>
    <t>RIO LOS CORDOBAS. SITIOS: SANTA ROSA, LA ARENOSA, EL BARRIAL, LAS DELICIAS, GUAIMARO, SIETE VUELTAS, BARRIO EL MAMEY Y EL OASIS. EVACUADAS 60 FAMILIAS. SE ESPERA REPORTE DE VISITA DEL CRE.</t>
  </si>
  <si>
    <t>RIO SINU. AFECTADOS TIERRALTA, VALENCIA, MONTERIA, CARETE, SAN PELAYO, LORICA Y SAN BERNARDO. NO HAY REPORTE DE AFECTACION.</t>
  </si>
  <si>
    <t>SANTA FE DE BOGOTA</t>
  </si>
  <si>
    <t>REPORTE TELEFONICO. LA UPES SE ENCUENTRA TRABAJANDO . BARRIO VILLAS DEL PROGRESO, VISTA HERMOSA, LISBOA, ENGATIVA, LA COLINAS.</t>
  </si>
  <si>
    <t>UTICA</t>
  </si>
  <si>
    <t>Q. NEGRA. REPORTE DE D.C.C.</t>
  </si>
  <si>
    <t>RIO MAGDALENA. EL CLE APOYO CON EVACUACION Y ATENCIÓN PRIMARIA. EVACUADAS 40 FAMILIAS  (280 PERSONAS).</t>
  </si>
  <si>
    <t>ARBELAEZ</t>
  </si>
  <si>
    <t>NO HAY REPORTE DE AFECTACION</t>
  </si>
  <si>
    <t>PIZARRO</t>
  </si>
  <si>
    <t>REPORTE TELEFONICO DE D.C.C. NO HAY REPORTE DE AFECTACION</t>
  </si>
  <si>
    <t>SOLICITAN AYUDA PERO NO HAY REPORTE DE AFECTACION.</t>
  </si>
  <si>
    <t>EN RIESGO 465 FAMILIAS. GIRO PARA COMBUSTIBLE.</t>
  </si>
  <si>
    <t>IQUIRA</t>
  </si>
  <si>
    <t>EL CLE REUBICO LAS 6 FAMILIAS. AFECT. VEREDA JUANCHO, SAN FRANCISCO, SAN ISIDRO, EBIRICO.</t>
  </si>
  <si>
    <t>LA PLATA</t>
  </si>
  <si>
    <t>AFECTADOS 6 BARRIOS DEL CASCO URBANO.</t>
  </si>
  <si>
    <t>TESALIA</t>
  </si>
  <si>
    <t>V. BUENAVISTA, SINAI, PALMITO, DELICIAS.CLE BRINDO AYUDA PRIMARIA</t>
  </si>
  <si>
    <t>FUNDACION</t>
  </si>
  <si>
    <t>AFECTADOS 17 BARRIOS. EL CLE REALIZO EVACUACIÓN</t>
  </si>
  <si>
    <t>ARACATACA</t>
  </si>
  <si>
    <t>EL BANCO</t>
  </si>
  <si>
    <t>RIO MAGDALENA Y CESAR. NO HAY REPORTE DE AFECTACIÓN.</t>
  </si>
  <si>
    <t>META</t>
  </si>
  <si>
    <t>ACACIAS</t>
  </si>
  <si>
    <t>REPRESAMIENTO Q. LAS BLANCAS. CLE ENVIO COMISION DE EVALUACION Y SEGUIMIENTO. GIRO PARA ALQUILER DE MAQUINARIA PARA EL DRAGADO DE LA QUEBRADA.</t>
  </si>
  <si>
    <t>VILLAVICENCIO</t>
  </si>
  <si>
    <t>BARRIO EL TRIUNFO. REPORTE DE D.C.C</t>
  </si>
  <si>
    <t>PASTO</t>
  </si>
  <si>
    <t>VIA MIRADOR-MOCOA. ACCIDENTE DE BUS</t>
  </si>
  <si>
    <t>ROBERTO PAYAN</t>
  </si>
  <si>
    <t>VEREDA YARUMAL, GOMEZ, JURADO Y CHIMBUZA. SE RECIBIO INFROME DEL CLE SIN CUANTIFICAR DAÑOS, AFECTADOS TECHOS DE VIVIENDAS. NO INDICAN CUANTOS.</t>
  </si>
  <si>
    <t>SALAHONDA</t>
  </si>
  <si>
    <t>ZULIA</t>
  </si>
  <si>
    <t>BARRIOS NUEVA COLOMBIA, AYALA Y AZUAVIS. REPORTE DEL CLE</t>
  </si>
  <si>
    <t>SAN CAYETANO</t>
  </si>
  <si>
    <t>PERDIDA DE CULTIVOS DE PLATANO, LIMON, MANGO, GUANABANA Y PAPAYA</t>
  </si>
  <si>
    <t>SECTOR PLAZA DE FERIAS. SOLICITAN APOYO. . SE OFICIO EN EL SENTIDO DE QUE DEBEN APOYAR A NIVEL LOCAL.</t>
  </si>
  <si>
    <t>NEIVA</t>
  </si>
  <si>
    <r>
      <t xml:space="preserve">BARRIO SAN ANTONIO, ALBERTO GALINDO, VENTILADOR, SIETE DE AGOSTO, OBRERO, TENERIFE. SOLICITAN TEJAS Y MENAJES. REPORTE INICIAL. </t>
    </r>
    <r>
      <rPr>
        <sz val="8"/>
        <rFont val="Arial"/>
        <family val="2"/>
      </rPr>
      <t>PENDIENTE APOYO.</t>
    </r>
  </si>
  <si>
    <t>REPORTE DE CRUZ ROJA DEL 25-11-98. SE ENCUENTRAN 65 FAMILIAS EN RIESGO QUE REQUIEREN ALOJAMIENTO TEMPORAL</t>
  </si>
  <si>
    <t>REPORTE DE CRUZ ROJA DEL 25-11-98. SECTOR DE MATA DE CAFE Y SECTOR CHAPINEROALEDAÑO A LA QUEBRADA LA CHAMA. EL APOYO SE REALIZO EN DOS ENTREGAS.</t>
  </si>
  <si>
    <t>CORREGIMIENTO BARRANCA DE LEBRIJA. BARRIO LA MUZANDA, RIVERA DEL RIO LEBRIJA, CALLE DEL RIO, VEREDA CAMPO AMALIA.</t>
  </si>
  <si>
    <t>ANDALUCIA</t>
  </si>
  <si>
    <t>CIENAGA</t>
  </si>
  <si>
    <t>REPORTE DE CRUZ ROJA. BARRIOS RICAURTE Y ALIANZA</t>
  </si>
  <si>
    <t>REPORTE DE CRUZ ROJA, SE OFICIO EN EL SENTIDO DE QUE SE ATIENDA A NIVEL LOCAL.</t>
  </si>
  <si>
    <t>REPORTE DE CRUZ ROJA. AFECTADO BARRIO RIO CLARO.</t>
  </si>
  <si>
    <t>CARMEN DE ATRATO</t>
  </si>
  <si>
    <t>GIRO PARA APOYAR LA RECONSTRUCCION DEL PUENTE SOBRE EL RIO ATRATO DESTRUIDO POR LOS ACTORES EN CONFLICTO Y QUE COMUNICA A LA COMUNIDAD INDIGENA DE SABALETA CON LA VIA CARRETEABLE QUIBDO-MEDELLIN</t>
  </si>
  <si>
    <t>CORREGIMIENTO EL GUAMO</t>
  </si>
  <si>
    <t>CORREGIMIENTO DE GUAYABAL</t>
  </si>
  <si>
    <t>REPORTE DEL CRE. NO HAY INFORME DE AFECTACION.</t>
  </si>
  <si>
    <t>NEIRA</t>
  </si>
  <si>
    <t>GUAMAL</t>
  </si>
  <si>
    <t xml:space="preserve">BARRIOS JOSE PRUENCIO PADILLA, SAN JOSE, SAN MARTIN, EL CARMEN Y VEREDAS EL CONFUSO, GUAMACHAL, LOS ALTOS, </t>
  </si>
  <si>
    <t>CLE PRESTO ASISTENCIA ALIMENTARIA APOYO PARA ALQUILER DE MAQUINARIA PARA DRAGADO D LA Q. LA TABLONA.</t>
  </si>
  <si>
    <t>TIBU</t>
  </si>
  <si>
    <t>C. PACHELY, V. SAN MARTIN, BUENOSAIRES, SAN FRANCISCO, JAVIER, SAN MARCOS Y EL ROSARIO. GIRO PARA ADQ. DE MANGUERA PARA REPACACION DE ACUEDUCTOS VEREDALES.</t>
  </si>
  <si>
    <t>SALAZAR</t>
  </si>
  <si>
    <t>PERDIDA DE CULTIVOS DE YUCA, FRUTALES Y MADERA.</t>
  </si>
  <si>
    <t>CLE REUBICO FAMILIAS, CRE PRESTO ASISTENCIA HUMANITARIA. SOLICITARON APOYO PARA RECONST. DE PUENTES PEATONALES.</t>
  </si>
  <si>
    <t>CALARCA</t>
  </si>
  <si>
    <t>FRESNO</t>
  </si>
  <si>
    <t>PALMITOS</t>
  </si>
  <si>
    <t>SAN MARCOS</t>
  </si>
  <si>
    <t>MONTES DE MARIA</t>
  </si>
  <si>
    <t>SOLICITAN MERCADOS.</t>
  </si>
  <si>
    <t>AFECTADO CARRETEABLE REGIDOR-RIOVIEJO.</t>
  </si>
  <si>
    <t>MOMPOX</t>
  </si>
  <si>
    <t>PINILLOS</t>
  </si>
  <si>
    <t>CALAMAR</t>
  </si>
  <si>
    <t>SANTA ROSA</t>
  </si>
  <si>
    <t>REPORTE DEL CLE. SOLICITAN SACOS.</t>
  </si>
  <si>
    <t>REPORTE DEL CLE. SOLICITAN SACOS</t>
  </si>
  <si>
    <t>SAN JOSE DEL PALMAR</t>
  </si>
  <si>
    <t>REPORTE DE CRUZ ROJA. COMUNIDAD INDIGENA INGA. SE AUTORIZO LA COMPRA A LA CRUZ ROJA DE 4 MERCADOS POR VALOR DE $23.000.</t>
  </si>
  <si>
    <t xml:space="preserve">  </t>
  </si>
  <si>
    <r>
      <t xml:space="preserve">LA RUPTURA DEL ALCANTARILLADO GENERO EROSION DE VIVIVENDAS. EL CLE DECLARO </t>
    </r>
    <r>
      <rPr>
        <i/>
        <sz val="6"/>
        <rFont val="Arial"/>
        <family val="2"/>
      </rPr>
      <t>CALAMIDAD PUBLICA.</t>
    </r>
  </si>
  <si>
    <t>RISARALDA</t>
  </si>
  <si>
    <t>PEREIRA</t>
  </si>
  <si>
    <t>RIOS OTUN Y CONSOTA Y Q. EL OSO</t>
  </si>
  <si>
    <t>LA VIRGINIA</t>
  </si>
  <si>
    <t xml:space="preserve">REPORTE DEL CLE. </t>
  </si>
  <si>
    <t>INUN. RIO CAUCA. C. CAIMALITO.</t>
  </si>
  <si>
    <t>GUATICA</t>
  </si>
  <si>
    <t>RIO LEBRIJA. C. PAPAYAL Y SAN RAFAEL. EL CLE DECLARO ALERTA AMARILLA. SOLICITA MEDICAMENTOS Y ELEMENTOS.</t>
  </si>
  <si>
    <t>SE ESPERA REPORTE OFICIAL</t>
  </si>
  <si>
    <t>PUERTO WILCHES</t>
  </si>
  <si>
    <t>AFECTADOS 4 BARRIOS. SE ESPERA REPORTE OFICIAL.</t>
  </si>
  <si>
    <t>BARRANCABERMEJA</t>
  </si>
  <si>
    <t>BARRIOS ARENAL, LAS PLAYAS Y DAVIS NUÑEZ. SE ESPERA REPORTE OFICIAL</t>
  </si>
  <si>
    <t>SIMACOTA</t>
  </si>
  <si>
    <t>AFECTADO BALNEARIO SANTA ROSA. PERDIDA DE CULTIVOS DE CAFÉ Y CACAO.</t>
  </si>
  <si>
    <t>AFECTADA ZONA RURAL Y URBANA. LOS MENAJES SE AUTORIZARON EL 21 DE DICIEMBRE.</t>
  </si>
  <si>
    <t>CURUMANI</t>
  </si>
  <si>
    <t>QUEBRADA SANTA ROSA. SOLICITAN MAQUINARIA PARA ENCAUZAR QUEBRADA. GIRO PARA ENCAUZAMIENTO</t>
  </si>
  <si>
    <t>AFE CTADOS 5 BARRIOS</t>
  </si>
  <si>
    <t>FLORIDABLANCA</t>
  </si>
  <si>
    <t>AFECTADOS 2 BARRIOS. SE ESPERA REPORTE OFICIAL.</t>
  </si>
  <si>
    <t>EL PALYON</t>
  </si>
  <si>
    <t>CEPITA</t>
  </si>
  <si>
    <t>CIMITARRA</t>
  </si>
  <si>
    <t>PIEDECUESTA</t>
  </si>
  <si>
    <t>MOGOTES</t>
  </si>
  <si>
    <t>SOCORRO</t>
  </si>
  <si>
    <t>APOYO GLOBAL PARA LOS MUNICIPIOS DE BUCARAMANGA, RIONEGRO, FLORIDA, EL PLAYON, BARRANCA, PTO. WILCHES, CEPITA, CIMITARRA, PIEDECUESTA, JESUS MARIA, MOGOTES, SOCORRO, SIMACOTA.</t>
  </si>
  <si>
    <t>SE ENCUENTRAN EVALUANDO LA SITUACION</t>
  </si>
  <si>
    <t>NO HAY REPORTE DE AFECTACION. MERCADOS PARA GUARANDA, MAJAGUAL Y SUCRE. SACOS PARA SAN BENITO, SAN MARCOS, CAIMITO, SUCRE, MAJAGUAL Y GUARANDA.</t>
  </si>
  <si>
    <t>SINCELEJO</t>
  </si>
  <si>
    <t>C. BUENAVISTICA</t>
  </si>
  <si>
    <t>GUAMO</t>
  </si>
  <si>
    <t>RIO LUISA. BARRIO SANTANA, MILAN, IFAS Y LA GUACA.</t>
  </si>
  <si>
    <t>AFECTADO PUESNTE GUAMO-ESPINAL</t>
  </si>
  <si>
    <t>ROVIRA</t>
  </si>
  <si>
    <t xml:space="preserve">RIOS CHILI, TUAMO Y CUCUANA. SECTORES LAS CEIBAS, LOMITAS, CENTRO, SANTANDER, LA ESCUELA. </t>
  </si>
  <si>
    <t>CAJAMARCA</t>
  </si>
  <si>
    <t>CORREGIMIENTO DE CUPICA. VISITA AL SITIO POR PARTE DE LA DNPAD. APOYO INICIAL 15 MERCADOS 300 SABANAS. ENVIO POSTERIOR DE 186 MERCADOS  Y MENAJES. EN REPORTE DE CRE DEL 27/10 SE RELACIONAN 224 FAMILIAS, 1066 PERSONAS. GIRO DE 7 MILLONES PARA COMBUSTIBLE (3) Y REPARACIONES (4); Y 2 MILLONES PARA LIMPIEZA Y DESTRONQUE DEL RIO CUPICA.; Y VALOR APROX. DEL TRANSPORTE: 5.5 MILLONES</t>
  </si>
  <si>
    <t>RIOS SALAQUI Y TRUANDO , AFECTADAS COMUNIDADES DE BARRANCO, PLAYA AGUIRRE, ARENAL, SALAKISITO, Y CAÑO SECO Y COMUNIDAD INDIGENA DE JAWAL REPORTE DE CRUZ ROJA. VALOR APROX DEL TRANSPORTE PARA RIOSUCIO Y BOJAYA: 5.04 MILLONES.</t>
  </si>
  <si>
    <t>CLEMENCIA</t>
  </si>
  <si>
    <t>PERDIDA DE AMIMALES Y ENSERES.</t>
  </si>
  <si>
    <t>ENVIAN LISTADO DE 116 FAMILIAS PERO NO ESTA AVALADO POR ENTIDAD OPERATIVA. OLICITAN APOYO PARA RECONSTRUCCIÓN DE VIVIENDA.</t>
  </si>
  <si>
    <t>RIO ANAIME Y Q. LA PLATA. VEREDA ROSALES, BARRIOS 12 DE OCTUBRE Y PUENTE FIERRO</t>
  </si>
  <si>
    <t>IBAGUE</t>
  </si>
  <si>
    <t>AFECTADOS 16 BARRIOS.</t>
  </si>
  <si>
    <t>MURILLO</t>
  </si>
  <si>
    <t>VENADILLO</t>
  </si>
  <si>
    <t>MERCADOS PARA GUAMO, ROVIRA, CAJAMARCA, IBAGUE.</t>
  </si>
  <si>
    <t>EL AGUILA</t>
  </si>
  <si>
    <t>ANSERMANUEVO</t>
  </si>
  <si>
    <t>Q. EL TORO</t>
  </si>
  <si>
    <t>BUGALAGRANDE</t>
  </si>
  <si>
    <t>RIO BUGALAGRANDE.</t>
  </si>
  <si>
    <t>CANDELARIA</t>
  </si>
  <si>
    <t>CARTAGO</t>
  </si>
  <si>
    <t>BARRIO LA PLATANERA, LIBERTADORES, ROBERTO TULIO.</t>
  </si>
  <si>
    <t>APOYO PARA LOS MUNICIPIOS E TRUJILLO, CANDELARIA, CARTAGO,ANSERMANUEVO.</t>
  </si>
  <si>
    <t>JAMUNDI</t>
  </si>
  <si>
    <t>OVANDO</t>
  </si>
  <si>
    <t>RIOFRIO</t>
  </si>
  <si>
    <t>TULUA</t>
  </si>
  <si>
    <t>BARRIOS BELLO HORIZONTE, LOS ALMENDROS, EL NARANJO.</t>
  </si>
  <si>
    <t>RIO TULUA B. LA PLAYITA, C. TRES ESQUINAS, C. BOCAS DEL TULUA</t>
  </si>
  <si>
    <t xml:space="preserve">                  </t>
  </si>
  <si>
    <t>DEPTO</t>
  </si>
  <si>
    <t>ARAUCA</t>
  </si>
  <si>
    <t>AMAGA</t>
  </si>
  <si>
    <t>PERDIDA DE CULTIVOS, ANIMALES Y ENSERES</t>
  </si>
  <si>
    <t>RIO ARAUCA, AFECTADAS 12 VEREDAS. CLE APOYO CON MERCADOS, ROLLOS PLASTICOS Y COMBUSTIBLE</t>
  </si>
  <si>
    <t>SARAVENA</t>
  </si>
  <si>
    <t>GIRO PARA ADQUISICION DE COMBUSTIBLE PARA ATENCION DE EMERGENCIAS.</t>
  </si>
  <si>
    <t>EL 04-12-98 SE GIRARON $10.000.000 PARA ADQUISICION DE MOTOBOMBA.</t>
  </si>
  <si>
    <t>REPORTE DE DEFENSA CIVIL BARRIOS SAN RAFAEL Y LA POLA</t>
  </si>
  <si>
    <t>SAN PEDRO</t>
  </si>
  <si>
    <t>VIA TULUA PUENTE ZINC, CORREGIMIENTOS NARANJAL, LA ESPERANZA. 350 FAMILIAS INCOMUNICADAS. SOLICITAN APOYO. SE DIO TRASLADO AL INSTITUTO NACIONAL DE VIAS.</t>
  </si>
  <si>
    <t>MANATI</t>
  </si>
  <si>
    <t>USIACURI</t>
  </si>
  <si>
    <t>SUAN</t>
  </si>
  <si>
    <t>EL CLE Y EL CRE ATENDIERON LA SITUACION. BARRIO SAN JORGE</t>
  </si>
  <si>
    <t>PERDIDA DE CULTIVOS. AFECTACION RED DE ENERGIA</t>
  </si>
  <si>
    <t>ARAUQUITA</t>
  </si>
  <si>
    <t>RIO ROYOTA</t>
  </si>
  <si>
    <t xml:space="preserve">RIO ARAUCA Y CARANAL </t>
  </si>
  <si>
    <t>PUERTO RONDON</t>
  </si>
  <si>
    <t>RIO CASANARE</t>
  </si>
  <si>
    <t>FORTUL</t>
  </si>
  <si>
    <t>RIOS CUSIANA Y BANADIA. NO HAY REPORTE DE AFECTACION</t>
  </si>
  <si>
    <t>RIO MAGDALENA. NO HAY REPORTE DE AFECTACION</t>
  </si>
  <si>
    <t>RIOS ROYOTA, COBARIA, , QUEBRADA BLANQUITA Y GAITANA. AFECTADAS VEREDA BLANQUITA, CAÑAGUATA Y ROYOTA</t>
  </si>
  <si>
    <t>SANTANDER DE QUILICHAO</t>
  </si>
  <si>
    <t>RIO SAN FRANCISCO Y LA TETA. VEREDAS LOMITAS ABAJO, BAJO SAN FRANCISCO.</t>
  </si>
  <si>
    <t>AGUACHICA</t>
  </si>
  <si>
    <t>C. BARRANCALEBRIJA, CAMPO AMALIA, PIERTO PATIÑO</t>
  </si>
  <si>
    <t>MARGEN IZQUIERDA RIO SINU</t>
  </si>
  <si>
    <t>CHOACHI</t>
  </si>
  <si>
    <t>PERDIDA DE 26.7 HAS DE CULTIVOS. AFECTADAS LINEAS TELEFONICAS</t>
  </si>
  <si>
    <t>QUEBRADA BLANCA. VEREDAS MAZA Y FERRALARADA. NO HAY REPORTE DE AFECTACION.</t>
  </si>
  <si>
    <t>APOYO PARA SANTAMARIA, ELIAS, IQUIRA Y TERUEL</t>
  </si>
  <si>
    <t>BARRIO BOCAGRANDE Y JOSE ARNOLDO MARIN.. SE APOYO A RIOHACHA CON UN TERRA TANK.</t>
  </si>
  <si>
    <t>INVIAS TRABAJA EN LA REPARACION DE PUENTES. BARRIOS BRISAS DEL RIO, SAN CARLOS, TABLITAS, YUMBOS, PAZ DEL RIO, ARIGUANI, PROGRESO SACRAMENTO SAN BERNARDO.</t>
  </si>
  <si>
    <t>SANTA MARTA</t>
  </si>
  <si>
    <t>AFECTADAS REDES ELECTRICAS</t>
  </si>
  <si>
    <t>CLE REALIZO EL EDAN. PRESTO ATENCIÓN EN SALUD Y APOYO ALIMENTARIO.</t>
  </si>
  <si>
    <t>REPORTE DE CRUZ ROJA</t>
  </si>
  <si>
    <t>PUERTO LEGUIZAMO</t>
  </si>
  <si>
    <t>RIO PUTUMAYO Y CAQUETA.  GIRO PARA COMBUSTIBLE PARA ADECUACION DE VIAS AFECTADAS POR LAS INUNDACIONES.</t>
  </si>
  <si>
    <t>EL CERRITO</t>
  </si>
  <si>
    <t>CHIMA</t>
  </si>
  <si>
    <t>PUERTO PARRA</t>
  </si>
  <si>
    <t>CARMEN</t>
  </si>
  <si>
    <t>SABANA DE TORRES</t>
  </si>
  <si>
    <t>REDES ELECTRICAS</t>
  </si>
  <si>
    <t>INUNDACION ARROYOS. B. VLLA MADY, LA PAZ, NUEVA ESPERANZA, URIBE Y TRINIDAD. APOYO CON TEJAS PARA EL BARRIO VILLA MADY.</t>
  </si>
  <si>
    <t>APOYO PARA SINCELEJO, COROZAL Y SAN MARCOS</t>
  </si>
  <si>
    <t>ESPINAL</t>
  </si>
  <si>
    <t>BARRIO FATIMA</t>
  </si>
  <si>
    <t>COELLO</t>
  </si>
  <si>
    <t>C. GUALANDAY (B. EL RIO, EL CENTRO, LAS MENESES).</t>
  </si>
  <si>
    <t>CLE SMINISTRO ALIMENTOS.</t>
  </si>
  <si>
    <t>LA VICTORIA</t>
  </si>
  <si>
    <t>QUEBRADA LOS MICOS. CORREG. SAN JOSE.</t>
  </si>
  <si>
    <t>VICHADA</t>
  </si>
  <si>
    <t>APOYO PARA LOS MUNICIPIOS DE PUERTO CARREÑO (205 FLIA.), SANTA ROSALIA (55 FLIAS), LA PRIMAVERA (75 FLIAS), OTROS (30 FLIAS).</t>
  </si>
  <si>
    <t>CAREPA</t>
  </si>
  <si>
    <t>V. NUEVA ESPERANZA Y V. CAREPITA.</t>
  </si>
  <si>
    <t>CHIGORODO</t>
  </si>
  <si>
    <t>EL CLE ASUMIO LA SITUACION</t>
  </si>
  <si>
    <t>EL CARMEN DE VIVORAL</t>
  </si>
  <si>
    <t>FRANCISCO PIZARRO</t>
  </si>
  <si>
    <t>TONA</t>
  </si>
  <si>
    <t>EL AMPARO</t>
  </si>
  <si>
    <t>SE TRATA E COLOMBIANOS RESIDENTES EN EL AMPARO VENEZUELA.</t>
  </si>
  <si>
    <t>PERDIDA DE 2500 HAS. DE CULTIVOS.</t>
  </si>
  <si>
    <t>RIO CAUCA.</t>
  </si>
  <si>
    <t>ACHI</t>
  </si>
  <si>
    <t>RIN REPORTE DE AFECTACION</t>
  </si>
  <si>
    <t>CARMEN DE BOLIVAR</t>
  </si>
  <si>
    <t>PERDIDA DE 3 HAS. DE CULTIVOS</t>
  </si>
  <si>
    <t>REGIDOR</t>
  </si>
  <si>
    <t>EL 24-07-98 LA CRUZ ROJA INFORMA SOBRE LA COMISION QUE ESTA ENVIANDO A EVALUAR LA SITUACION.</t>
  </si>
  <si>
    <t>EL CLE ESTA ATENCIENDO LA SITUACION</t>
  </si>
  <si>
    <t>TIBANA</t>
  </si>
  <si>
    <t>QUEBRADA LA PERDIZ Y RIO HACHA. APOYO PARA FLORENCIA (403 FLIAS), PUERTO RICO (50 FLIAS), SOLANO (25 FLIAS), SOLITA(20 FLIAS), VALPARAISO (40). EN FLORENCIA AFECTADOS BARRIOS SAN JUDAS, VISTA HERMOSA, GUAMAL, FLORESTA, COMUNEROS, IDEMA, JUAN XXIII.</t>
  </si>
  <si>
    <t>TRINIDAD</t>
  </si>
  <si>
    <t>REPORTE DE CRUZ ROJA. SE ESPERA SOLICITUD DE REQUERIMIENTOS</t>
  </si>
  <si>
    <t>EL PASO</t>
  </si>
  <si>
    <t>CORREG. LA LOMA. SE INFORMA DE 1522 FAMILAIS AFECTADAS POR FALTA DE AGUA. EMERGENCIA SANITARIA POR AGOTAMIENTO DEL POZO. SE SOLICITO FORMULAR PROYECTO ANTE EL FONDO CORRESPONDIENTE.</t>
  </si>
  <si>
    <t>BOSCONIA</t>
  </si>
  <si>
    <t>SE SOLICITO ATENDER ANIVEL LOCAL Y REGIONAL.</t>
  </si>
  <si>
    <t>C. SIMAÑA. SE SOLICITO ATENDER A NIVEL LOCAL Y REGIONAL.</t>
  </si>
  <si>
    <t>SAN PELAYO</t>
  </si>
  <si>
    <t>APOYO CON SACOS PARA VARIOS MUNICIPIOS</t>
  </si>
  <si>
    <t>MOMIL</t>
  </si>
  <si>
    <t>COTORRA</t>
  </si>
  <si>
    <t>CERETE</t>
  </si>
  <si>
    <t>SAN BERNARDO</t>
  </si>
  <si>
    <t>INUN. RIO SINU. AFECTADAS 18 VEREDAS. EL CLE ESTIMA PERDIDAS POR $280.000.000</t>
  </si>
  <si>
    <t>AFECTADAS 3000 HAS DE CULTIVOS</t>
  </si>
  <si>
    <t>VALENCIA</t>
  </si>
  <si>
    <t>RIO SINU. C MANZANARES.</t>
  </si>
  <si>
    <t>MONTERIA</t>
  </si>
  <si>
    <t>LA APARTADA</t>
  </si>
  <si>
    <t>LOS CORDOVAS</t>
  </si>
  <si>
    <t>MONTELIBANO</t>
  </si>
  <si>
    <t>AYAPEL</t>
  </si>
  <si>
    <t>PUEBLO NUEVO</t>
  </si>
  <si>
    <t>CIENAGA DE ORO</t>
  </si>
  <si>
    <t>DERRAME DE 3000 BARRILES DE ACPM Q. GUANABANOS.</t>
  </si>
  <si>
    <t>SAN JOSE DEL GUAVIARE</t>
  </si>
  <si>
    <t>RIOS INIRIDA, GUAVIARE Y GUAYABERO. AFECTADO CASCO URBANO Y ZONA RURAL</t>
  </si>
  <si>
    <t>MIRAFLORES</t>
  </si>
  <si>
    <t>INFORME PRELIMINAR DE CRUZ ROJA</t>
  </si>
  <si>
    <t>SAN JUAN DEL CESAR</t>
  </si>
  <si>
    <t>FONSECA</t>
  </si>
  <si>
    <t>MAPIRIPAN</t>
  </si>
  <si>
    <t>VEREDA EL MELON, EL TRIN, REMOLINOS, CAÑO EVARISTO, CAÑO MINAS, CHAPARRAL.. CLE Y CRE HAN REALIZADO EVACUACIONES.</t>
  </si>
  <si>
    <t>CABUYARO</t>
  </si>
  <si>
    <t>PUERTO CONCORDIA</t>
  </si>
  <si>
    <t>PUERTO RICO</t>
  </si>
  <si>
    <t>FUENTE DE ORO</t>
  </si>
  <si>
    <t>GRANADA</t>
  </si>
  <si>
    <t>EL DORADO</t>
  </si>
  <si>
    <t>VIAS Y RED ELECTRICA</t>
  </si>
  <si>
    <t>LA FAC REALIZO EVACUACIONES.</t>
  </si>
  <si>
    <t>SAN JUAN DE ARAMA</t>
  </si>
  <si>
    <t>REQUIEREN MALLAS Y 70 HORAS DE BULLDOZER.</t>
  </si>
  <si>
    <t>CUBARRAL</t>
  </si>
  <si>
    <t>VIAS, RED ELECTRICA</t>
  </si>
  <si>
    <t>CASTILLO</t>
  </si>
  <si>
    <t>AFEC. 200 HAS. DE CULTIVOS</t>
  </si>
  <si>
    <t>PUERTO LLERAS</t>
  </si>
  <si>
    <t>LEJANIAS</t>
  </si>
  <si>
    <t>DERRAME DE 10.000 BARRILES DE CRUDO EN ECUADOR. PETROECUADOR, EL CLE Y ECOPETROL CONTROLAN LA MANCHA.</t>
  </si>
  <si>
    <t>ABREGO</t>
  </si>
  <si>
    <t xml:space="preserve"> </t>
  </si>
  <si>
    <t>DESBORDAMIENTO QUEBREDA LA VELASQUEZ. BARRIOS ZAPATA Y BRISAS DEL MAGDALENA Y VEREDA PUERTO NIÑO. REPORTE PRELIMINAR. QUEDARON DE ENVIAR EVALUACIÓN TOTAL Y REQUERIMIETNOS DEL NIVEL NACIONAL.</t>
  </si>
  <si>
    <t>VEREDA EL TABACO, LLANO ALTO, CAPITANIAGRO, LA ESTANCIA, LA SOLEDAD, LOS LLANITOS.</t>
  </si>
  <si>
    <t>PUERTO GUZMAN</t>
  </si>
  <si>
    <r>
      <t xml:space="preserve">RIO CAQUETA. V. EL JAUNO, SANTA LUCIA, SAN ROQUE, JESE MARIA, GALILEA, RECREO, GALLINAZO, MAYOYOQUE, PUERTO ROSARIO, EL CEDRO, Y PLAYA RICA. </t>
    </r>
    <r>
      <rPr>
        <i/>
        <sz val="6"/>
        <rFont val="Arial"/>
        <family val="2"/>
      </rPr>
      <t>INFORME DE CRUZ ROJA.</t>
    </r>
  </si>
  <si>
    <t>PUERTO ASIS</t>
  </si>
  <si>
    <r>
      <t>RIO PUTUMAYO. VEREDA HONG KONG.</t>
    </r>
    <r>
      <rPr>
        <i/>
        <sz val="6"/>
        <rFont val="Arial"/>
        <family val="2"/>
      </rPr>
      <t>REPORTE DE CRUZ ROJA.</t>
    </r>
  </si>
  <si>
    <t>SAN FRANCISCO</t>
  </si>
  <si>
    <t>EL CLE INFORMA SOBRE AFECTACION EN EN VIVIENDAS, MENAJES, VIAS, SECTOR ECONOMICO PERO SIN CUANTIFICAR</t>
  </si>
  <si>
    <t>INFORMA EL CRE PERO NO ENVIAN CENSOS NI AVALA ENTIDAD OPERATIVA. SE ENVIA OFICIO.</t>
  </si>
  <si>
    <t>PERDIDA DE CULTIVOS, REDES ELECTRICAS Y SECTOR SALUD</t>
  </si>
  <si>
    <t>MUNICIPIOS: SUCRE, MAJAGUAL, GUARANDA, SAN MARCOS, CAIMITO, SAN BENITO, SINCELEJO, COROZAL.</t>
  </si>
  <si>
    <t>SE RECOMENDO PRESENTAR PROYECTOS.</t>
  </si>
  <si>
    <t>VAUPES</t>
  </si>
  <si>
    <t>MITU</t>
  </si>
  <si>
    <t>RIO VAUPES</t>
  </si>
  <si>
    <t>SANTA ROSALIA</t>
  </si>
  <si>
    <t>PRIMAVERA</t>
  </si>
  <si>
    <t>EN REUNION CON CLE SE RECTIFICO QUE LA AFECTACION SON 196 FAMILIAS, 980 PERSONAS Y SE ENVIO APOYO ADICIONAL AL DEL MES DE JUNIO</t>
  </si>
  <si>
    <t>EN REUNION CON CLE SE RECTIFICO QUE LA AFECTACION SON 80 FAMILIAS, 294 PERSONAS Y SE ENVIO APOYO ADICIONAL AL DEL MES DEJUNIO</t>
  </si>
  <si>
    <t>ANGELOPILIS</t>
  </si>
  <si>
    <t>TURBO</t>
  </si>
  <si>
    <t>DERRAME DE SODA CAUSTICA..</t>
  </si>
  <si>
    <t>PERDIDA DE 90 HAS. DE CULTIVOS</t>
  </si>
  <si>
    <t>APARTADO</t>
  </si>
  <si>
    <t>TIQUISIO</t>
  </si>
  <si>
    <t>QUEBRADA DEL FIRME. FALTAN CENSOS</t>
  </si>
  <si>
    <t>VEREDA EL LIBERTADOR, LA ARCADIA, SIMOITA, BARRIO OASIS. REPORTE DE CRUZ ROJA.</t>
  </si>
  <si>
    <t>RAMIRIQUI</t>
  </si>
  <si>
    <t>VEREDA NAGUATA CRE EVALUACION TECNICA. SOLICITAN ELEMENTOS Y MERCADOS PERO SE OFICIO EN EL SENTIDO DE QUE SE ATIENDA A NIVEL LOCAL Y REGIONAL.</t>
  </si>
  <si>
    <t>PERDIDA DE 32 HAS DE CULTIVOS, PASTOS Y PERDIDA DE ANIMALES.</t>
  </si>
  <si>
    <t>MANI</t>
  </si>
  <si>
    <t>AFECTADAS CABECERAMUNICIPAL, BARRRIO NUEVA ELVIRA, JAPON, ISLA HERMOSA, ISLA QUINDIO, HUMARENA, LOS TOTUMOS, BARRIO CONCEPCIÓN, LA CHAPETONA, CORINTO, SAN PABLO, PLAN BONITO, BUENOS AIRES, SOLERA.</t>
  </si>
  <si>
    <t>**</t>
  </si>
  <si>
    <t>PERDIDA DE 650 HAS DE CULTIVOS Y ANIMALES D CORRAL</t>
  </si>
  <si>
    <t>HATO COROZAL</t>
  </si>
  <si>
    <t>PERDIDA DE 120 HAS DE CULTIVOS Y PASTOS. AFECTADA VIA MARGINAL DE LA SELVA.</t>
  </si>
  <si>
    <t>OROCUE</t>
  </si>
  <si>
    <t>PERDIDA DE900 HAS DE CULTIVOS Y 30 RESES.</t>
  </si>
  <si>
    <t>PERDIDA DE 70 HAS. DE CULTIVOS</t>
  </si>
  <si>
    <t>PAZ DE ARIPORO</t>
  </si>
  <si>
    <t>PERDIDA DE 120 HAS DE CULTIVOS Y PASTOS</t>
  </si>
  <si>
    <t>SAN LUIS DE PALENQUE</t>
  </si>
  <si>
    <t>PERDIDA DE 50 HAS DE CULTIVOS</t>
  </si>
  <si>
    <t>PORE</t>
  </si>
  <si>
    <t>PERDIDA DE 28 HASA DE CULTIVOS Y ANIMALES</t>
  </si>
  <si>
    <t>SABANALARGA</t>
  </si>
  <si>
    <t>PERDIDA DE 70 HAS DE CULTIVOS</t>
  </si>
  <si>
    <t>NUNCHA</t>
  </si>
  <si>
    <t>AFECTADOS SINCELEJO Y TOLU</t>
  </si>
  <si>
    <t>PERDIDA DE 20 HAS DE CULTIVOS</t>
  </si>
  <si>
    <t>RECETOR</t>
  </si>
  <si>
    <t>ORTEGA</t>
  </si>
  <si>
    <t>BARRIO ENCISO, SECTOR ORIENTAL. CLE ATENDIO LA SITUACION</t>
  </si>
  <si>
    <t>SECTOR NORORIENTAL BARRIO VERSALLES</t>
  </si>
  <si>
    <t>YONDO</t>
  </si>
  <si>
    <t>VEREDAS LOS MANGOS , EL DIQUE, PUERTO NUEVOSAN MIGUEL DEL TIGRE Y LA PLAYA. ATENDIO COMITE LOCAL. NO ENVIAN AFECTACION</t>
  </si>
  <si>
    <t>ANDES</t>
  </si>
  <si>
    <t>CLE ATENDIO CON SUS GRUPOS DE APOYO.</t>
  </si>
  <si>
    <t>DESLIZAMIENTO MARGEN DERECHA RIO LA HERRADURA. SE AFECTAN 400 FAMILIAS.</t>
  </si>
  <si>
    <t>PERDIDA DE COSECHAS</t>
  </si>
  <si>
    <t>REPORTE DEL CLE. NO ENVIAN CENSOS. SE SOLICITA COORDINACIÓN CON CRE. VIAS AFECTADAS SEGUN REPORTE DEL CRE: SAN MIGUEL DE SEMA-BOGOTA, SAN MIGUEL DE SEMA-CHIQUINQUIRA Y SAN MIGUEL DE SEMA-SIMIJACA. UNA VIVIENDA EN RIESGO</t>
  </si>
  <si>
    <t>LOS ORGANISMOS DE SOCORRO DEL COMITE LOCAL ATENDIERON LA SITUACION</t>
  </si>
  <si>
    <t>LA DIRECCION NACIONAL COORDINÓ ENVIO DE ALIMENTOS CON CARGO A LA RED DE SOLIDARIDAD SOCIAL.REPORTE DE LA CRUZ ROJA INFORMA DE 358 PERSONAS AFECTADAS.</t>
  </si>
  <si>
    <t>VEREDA LAS CAÑAS Y CAÑAS ARRIBA</t>
  </si>
  <si>
    <t>TOTORO</t>
  </si>
  <si>
    <r>
      <t>VEREDA NOVIRAO.</t>
    </r>
    <r>
      <rPr>
        <sz val="9"/>
        <rFont val="Arial"/>
        <family val="2"/>
      </rPr>
      <t>PENDIENTE APOYO</t>
    </r>
  </si>
  <si>
    <t>PERDIDA DE 25 HAS DE CULTIVOS</t>
  </si>
  <si>
    <t>PERDIDA DE 500 HAS DE PASTO ARROZ Y PALMA Y 180 RESES Y ANIMALES.</t>
  </si>
  <si>
    <t>AGUAZUL</t>
  </si>
  <si>
    <t>PERDIDA DE 18 HAS. DE CULTIVOS</t>
  </si>
  <si>
    <t>APOYO INICIAL PARA EL MUNICIPIO DE SUAZA, EL CUAL FUE POSTERIORMENTE REDISTRIBUIDO ENTRE LOS MUNICIPIOS DE ELIAS. IQUIRA, TERUEL, TESALIA LA PLATA SANTA MARIA Y NATAGA, SEGÚN SOLICITUD DE LA GOBERNACION DE FECHA 4 DE AGOSTO DE 1998.</t>
  </si>
  <si>
    <t>LOS CLES Y CRES APOYARON LA  ATENCION PRIMARIA DE LAS EMERGENCIAS.</t>
  </si>
  <si>
    <t>LA JAGUA DE IBIRICO</t>
  </si>
  <si>
    <t>CLE RECOLECCION DE ESCOMBROS</t>
  </si>
  <si>
    <t>MAICAO</t>
  </si>
  <si>
    <t>SE LES OFICIO EN EL SETIDO DE QUE APOYEN A NIVEL LOCAL.</t>
  </si>
  <si>
    <t>CIRCACIA</t>
  </si>
  <si>
    <t>MUNICIPIOS DE PIJAO Y GENOVA, EL CRE INFORMA QUE HAY 1000 FAMILIAS EN RIESGO. GIRO PARA LIMPIEZA DE CAUCE DE LOS RPIOS LEJOS, GRIS Y SAN JUAN.</t>
  </si>
  <si>
    <t>SE OFICIO EN EL SENTIDO DE QUE SEA ATENDIDO A NIVEL LOCAL</t>
  </si>
  <si>
    <r>
      <t xml:space="preserve">AFECTADO BARRIO LA ESPERANZA, BARRIO VILLA DEL SUR, BARRIO BELLO HORIZONTE EL CLE REALIZO LA EVACUACION DE LAS VIVIENDAS. </t>
    </r>
    <r>
      <rPr>
        <sz val="9"/>
        <rFont val="Arial"/>
        <family val="2"/>
      </rPr>
      <t>PENDIENTE APOYO PORQUE NO HAN ENVIADO REQUERIMIENTOS</t>
    </r>
  </si>
  <si>
    <t>CARACOLI</t>
  </si>
  <si>
    <t>CAUCASIA</t>
  </si>
  <si>
    <t>SE SOLICITO A CRE ENVIAR CENSOS PARA PODER APOYAR</t>
  </si>
  <si>
    <t>ATENTADO TERRORISTA. DERRAME DE CRUDO.</t>
  </si>
  <si>
    <t>COROZAL</t>
  </si>
  <si>
    <t>APOYO CON SACOS PARA MITIGACION E INUNDACIONES EN LOS MUNICIPIOS DE SAN PELAYO, COTORRA, MOMIL, CHIMA MONTERIA SAN BERNARDO, CIENAGA DE ORO, BUENAVISTA, AYAPEL Y PUERTO LIBERTADOR.</t>
  </si>
  <si>
    <t xml:space="preserve">AFECTADOS BARRIOS VILLACECILIA, RINCON, LAMAS, ROBLE, MAMON, BOLSILLO, FLORESTA. DAÑADAS VIAS DE ACCESO. AFECTADO EL SERVICIO DE AGUA POTABLE. SE ESTAN PRESENTANDO ENFERMEDADES. EMPRENDIDAS ACCIONES DE SALUD, ALBERGUES, </t>
  </si>
  <si>
    <t>SE ESPERAN CENSOS.</t>
  </si>
  <si>
    <t>REPORTE DE LA CRUZ ROJA. CORREGIMENTO DE YUNGUILLO. COMUNIDAD INDIGENA.</t>
  </si>
  <si>
    <t>CHINU</t>
  </si>
  <si>
    <t>DOSQUEBRADAS</t>
  </si>
  <si>
    <t>EL CLE REPORTA PERO NO HAY SOLICITUD CONCRETA DE APOYO.</t>
  </si>
  <si>
    <t>REPORTE DEL CRE. NO HAY SOLICITUD DE APOYO.SE INDICO QUE SE ATIENDA A NVEL LOCAL Y REGIONAL.</t>
  </si>
  <si>
    <t xml:space="preserve"> 07-09-98</t>
  </si>
  <si>
    <t>VALEDUPAR</t>
  </si>
  <si>
    <t>NO CUANTFICAN LOS DAÑOS. LOS BARRIOS MAS AFECTADOS SON SECTORES HUMILDES EN ZONAS PERFÉRICAS DE LA CIUDAD. GIRO PARA APOYAR LA RECONSTRUCCION DE VIVIENDAS.</t>
  </si>
  <si>
    <t>GUAINIA</t>
  </si>
  <si>
    <t>PUERTO INIRIDA</t>
  </si>
  <si>
    <t>BARRANCOMINAS</t>
  </si>
  <si>
    <t xml:space="preserve">RIO GUAVIARE. </t>
  </si>
  <si>
    <t>SAN JUAN NEPOMUCENO</t>
  </si>
  <si>
    <r>
      <t>**</t>
    </r>
    <r>
      <rPr>
        <b/>
        <i/>
        <sz val="9"/>
        <rFont val="Arial"/>
        <family val="2"/>
      </rPr>
      <t>ACTUALIZACION DE PRECIOS UNITARIOS</t>
    </r>
  </si>
  <si>
    <t>APOYO OTORGADO EN SEPTIEMBRE 10/98.</t>
  </si>
  <si>
    <t>TADO</t>
  </si>
  <si>
    <r>
      <t>REPORTE DE CRUZ ROJA. SOLICITAN APOYO CON MERCADOS, Y MENAJES.</t>
    </r>
    <r>
      <rPr>
        <sz val="12"/>
        <rFont val="Arial"/>
        <family val="2"/>
      </rPr>
      <t>PENDIENTE APOYO.</t>
    </r>
  </si>
  <si>
    <t>BELEN DE LOS ANDAQUIES</t>
  </si>
  <si>
    <t>REPORTE DEL CLE. NO CUANTIFICAN NECESIDADES.</t>
  </si>
  <si>
    <t>IUNDACION Q. TAMACA. AFECTADO BARRIO 19 DE ABRIL O LA LUCHA, LUZ DEL MUNDO Y CURINCA. EN TOTAL HABLAN DE 230 FAMILIAS AFECTADAS, PERO DAMNIFICADAS 32. REPORTE DE LA CRUZ ROJA. SOLICITAN MENAJES U EQUIPOS DE ASEO.</t>
  </si>
  <si>
    <t>BARRIO TRES CRUCES. REPORTE DE LA COMUNDAD.</t>
  </si>
  <si>
    <t>YARUMAL</t>
  </si>
  <si>
    <t>CORREGIMIENTO EL CEDRO.</t>
  </si>
  <si>
    <t>REPORTE DEL CLE. AFECTADA CABECERA MUNICIPAL, C. SITIOVIEJO, ARACHE, PIMENTAL, Y LAS VEREDASBOCAS DE CATABRE Y SABANAL. EL CLE HA REFORZADO DIQUES DE PROTECCION, HA SUMINISTRADO COSTALES, ALIEMNTOS Y MEDICAMENTOS. SOLICITAN MERCADOS COSTALES MEDICAMENTOS Y CARPAS. POSTERIORMENTE REPORTO LA CRUZ ROJA SOLICITANDO 1300 TOLDILLOS Y 259 MERCACOS. EL 28 E SEPTEMBRE EL CLE INFORMO QUE EL NUMERO DE FAMILIAS AFECTADAS ERA 322. EL 29-10 SE OTORGO APOYO ADICIONAL DE 259 MERCADOS Y 477 TOLDILLOS.</t>
  </si>
  <si>
    <t>EL CLE INFORMA SOBRE INUNDACIONES Y DESLIZAMIENTOS OCURRIDOS DURANTE LOS MESES DE AGOSTO, SEPTIEMBRE Y OCTUBRE EN  LOS BARRIOS BOSQUE, BAJO VALLE, MEISEL, LAS AMERICAS, CUCHILLA VILLATE, SIETE DE ABRIL, NUEVA COLOMBIA, VILLA ROSARIO, ME QUEJO, LAS MALVINAS, LA ESMERALDA, EL MILAGRO, Y SOLICITA APOYO CON MATERIALES Y ARRIENDO PARA LAS FAMILIAS.</t>
  </si>
  <si>
    <t>RIOVIEJO</t>
  </si>
  <si>
    <t>REPORTE DEL CRE. SECTOR SAN JORGE. QUEBRADA REMANGOS. EVACUADAS 8 FAMILIAS.</t>
  </si>
  <si>
    <t>EL CLE VISITO EL LUGAR Y REALIZO LA EVALUACIÓN .  AFETADOS CABECERA MUNICIPAL,  CIEN PESOS, LAS TABLAS, VILLA ROSA, ROTINETH, ARROYO NEGRO. NO HAY REPORTE CONCRETO DE NECESIDADES.</t>
  </si>
  <si>
    <t>AFECTADOS LA CEBECERA, LA RENTICA, SANTA CRUZ Y PALMAR.  NO CUANTIFICAN NECESIDADES.</t>
  </si>
  <si>
    <t>SOLICITAN MENAJES, ALIMENTOS, Y LAMINAS DE ETERNIT.</t>
  </si>
  <si>
    <t>CHINAVITA</t>
  </si>
  <si>
    <t>PERDIDA DE ANIMALES Y PROYECTOS PISCICOLAS Y CULTIVOS.</t>
  </si>
  <si>
    <t>REPRESAMIENTO DEL RIO FUSAVITA  Y QUEBRADAS HUNDIDA, QUENQUENERA. EN EL SITIO ALTO DE LAS LAJAS. AFECTADOS PUENTES EL GUAYABITO, JORDAN, EL COMUN, EL BAHO DE LOS TRAPICHES, MEDIO DE LOS RIOS. EL GAQUE Y VALLEJO. EL CLE SE ENCUENTRA EN LABORES DE REHABILITACIÓN. NO HAY SOLICITUD DE APOYO.</t>
  </si>
  <si>
    <t>COLOMBIA</t>
  </si>
  <si>
    <t>RIOS CABRERA Y AMBICA</t>
  </si>
  <si>
    <t>SINCE</t>
  </si>
  <si>
    <t>GUARANDA</t>
  </si>
  <si>
    <t>SAN BENITO</t>
  </si>
  <si>
    <t>SAN JUAN DE BETULIA</t>
  </si>
  <si>
    <t>GALERAS</t>
  </si>
  <si>
    <t>SAN ONOFRE</t>
  </si>
  <si>
    <t>CORREGIMIENTO ALGARROBOS.DESBORDAMIENTO RIO ARIGUANI. ESTAN EVALUANDO LA SITUACION Y QUEDARON DE ENVIAR CENSO.</t>
  </si>
  <si>
    <t>AFECTADO SISTEMA ELECTRICO Y PERDIDA DE ENSERES</t>
  </si>
  <si>
    <t>EL CLE Y EL CRE PREATARON ASISTENCIA ALIMENTARIA Y CON ELEMENTOS DE PRIMERA NECESIDAD.</t>
  </si>
  <si>
    <t>LOS PALMITOS</t>
  </si>
  <si>
    <t>DESBORDAMIENTO ED ARROYO.</t>
  </si>
  <si>
    <t>VEREDA MOCHILERO. SE SOLICITO A CLE Y CRE ATENDE RCON RECUSOS PROPIOS. EL 24-09-98 SE AUTORIZO EL APOYO.</t>
  </si>
  <si>
    <t>DESBORDAMIENTO ARROYO SAN JACINTO. AFETO LA ZONAS DE EL SIETE, EL GUAMO, LA GLORIA, LA VARIANTE, NUEVO HORIZONTE, SUCRE LA ISLA. SOLICITAN MERCADOS, ELEMENTOS DE RPIMERA NECESIDAD.</t>
  </si>
  <si>
    <t>DESBORDAMIENTO ARROYOS EL RASTRO, SALVADOR Y CATALINA. CLE APOYO CON ALIMENTOS Y LIMPIEZA DEL CAUCE. ZONAS AFECTADAS: CABECERA, BARRIOS ARMERO, EL LAGUITO, LA BODEGA HUAPANGO Y NUEVO SAN JUAN. REPORTE DE CRE Y CLE</t>
  </si>
  <si>
    <t>AEFECTADA CABECERA, BARRIOS ARMERO, PARAISO, OLAYA HERRERA, LA FLORESTA, GUAPONGO, LAGUITO, BODEGA, 20 DE MARZO, CARACOLES Y LAS DELICIAS.</t>
  </si>
  <si>
    <t>PERDIDA DE CULTIVOS.</t>
  </si>
  <si>
    <t>Total general</t>
  </si>
  <si>
    <t>Suma de PERSONAS</t>
  </si>
  <si>
    <t>Suma de VIV.DESTRU.</t>
  </si>
  <si>
    <t>Suma de VIV.AVER.</t>
  </si>
  <si>
    <t>OTANCHE</t>
  </si>
  <si>
    <t>REPORTE INICIAL DEL CLE. INFORMA QUE SE ENCUENTRA AVERIADAS LAS VEREDAS MANCA, BUENOS AIRES, LOS BANCOS Y EL BARRIO VELEZ ARANGO.SOLICITAN AL CRE APOYO PARA DAR SOLUCIÓN AL PROBLEMA.</t>
  </si>
  <si>
    <t>EXPLOSION</t>
  </si>
  <si>
    <t>SECTOR MATA DE CAFE. EL CRE APOYO CON ELEMENTOS</t>
  </si>
  <si>
    <t>MANIZALES</t>
  </si>
  <si>
    <t>VEREDA TRES PUERTAS. SOLICITAN $15.000.000 PARA RECONSTRUCCION DE VIVIENDAS. SE OFICIO EN EL SENTIDO DE QUE NO ES COMPETENCIA DEL FNC.</t>
  </si>
  <si>
    <t>REPORTE PRELIMINAR DE LA SECRETARIA DE SALUD DEL TOLIMA. CRECIENTE QUEBRADAS LA ZAPATOSA Y EL RIO ORTEGA.</t>
  </si>
  <si>
    <t>ALVARADO</t>
  </si>
  <si>
    <t>Datos</t>
  </si>
  <si>
    <t>Total</t>
  </si>
  <si>
    <t xml:space="preserve">Suma de TOTAL </t>
  </si>
  <si>
    <t>Total Suma de PERSONAS</t>
  </si>
  <si>
    <t xml:space="preserve">Total Suma de TOTAL </t>
  </si>
  <si>
    <t>REPORTE PRELIMINAR DE LA SECRETARIA DE SALUD DEL TOLIMA. DESAPARECIDOS TRES BAÑISTAS.</t>
  </si>
  <si>
    <t>REPORTE PRELIMINAR DE LA CRUZ ROJA. DESLIZAMIENTO EN LA VIA FRESNO-MANIZALES. SITIO PETAQUEROS. TRABAJARON ENTIDADES OPERATIVAS, INVIAS Y POLICIA DE CARRETERAS. SE ESPERA REPORTE FINAL DEL OPERATIVO.</t>
  </si>
  <si>
    <t>REPORTE DEL JEFE DE LA ESTCION DE POLICIA.RIO CHITICUY. EN RIESGO 4 VIVIENDAS. RIESGO DE REPRESAMIENTO EL RIO POR EXPLOTACIÓN MINERA. EVALUADOS VARIOS PUNTOS A LO LARGO DEL RIO. SE REQUIEREN MUROS DE CONTENCION. SE RECOMIENDA EL DRAGADO DEL RIO.</t>
  </si>
  <si>
    <t>CEREDAS NAGUATA, HERVIDERO Y ESCOBAL. EL CLE Y CRE SE ENCUENTRAN APOYANDO.LAS FAMILIAS FUERON EVACUADAS.</t>
  </si>
  <si>
    <t>DESBORDAMIENTO RIO CARARE Y OPON  EL CLE INFORMA SOBRE 730 FAMILIAS AFECTADAS. SOLICITAN ALIMENTOS Y ELEMENTOS, PERO SE LES SOLICITO EL CENSO.</t>
  </si>
  <si>
    <t>BARRANQUILLA</t>
  </si>
  <si>
    <t>PERDIDA DE CULTIVOS Y ANIMALES.</t>
  </si>
  <si>
    <t>DESBORDAMIENTO RIO ARIGUANI SECTOR PUERTO DE LAJAS, VEREDA LOMA LINDA. EL CLE  REALIZO BRIGADAS DE SALUD, ENTREGO APOYO ALIMENTARIO. SOLICITAN MENAJES Y MERCADOS.</t>
  </si>
  <si>
    <t>PERDIDA DE 11 HAS. DE PLATANO, 12.5 DE PASTO Y 1 DE YUCA.</t>
  </si>
  <si>
    <t>CORREGIMIENTO LA VICTORIA DE SAN ISIDRO, CON 3200 HABITANTES. DESBORDAMIENTO DEL RIO SALATIEL. SE OFICIO AL EJERCITO PARA CONSEGUIR PUENTE MILITAR.</t>
  </si>
  <si>
    <t>COMUNIDADES INDÍGENAS DE SANTA MARTA, DOS BOCAS, PUNTO CAIMITO, BUENA VISTA, SANTA TERESITA, CEDRAL, EYASAKE EN LOS RIOS JAMPABADO, JURADO Y PARTADO. INDIGENAS EMBERA, WOUNAAN Y CATIO , AMRCIAL Y JAGUAL. REPORTE DEL 27/10 RELACIONAN 324 FAMILIAS AFECTADAS,1646 PERSONAS.</t>
  </si>
  <si>
    <t>EXPLOSION DEL OLEODUCTO POR ATENTADO GUERRILLERO. CORREGIMIENTO DE FRAGUAS, VEREDA MACHUCA. HUBO DESPLAZAMIENTO DE LA DNPAD Y DE LAS INSTITUCIONES EN GENERAL.</t>
  </si>
  <si>
    <t>ABREAQUI</t>
  </si>
  <si>
    <t>AFECTADO COLEGIO NUESTRA SEÑORA DEL CARMEN DE CHINU. AFECTADA AREA RURAL Y URBANA.</t>
  </si>
  <si>
    <t>REPORTE DE LA CRUZ ROJA.</t>
  </si>
  <si>
    <t>EL PLAYON</t>
  </si>
  <si>
    <t>REPORTE DEL CRE PERO NO HAY CONFIRMACIÓN DE ENTIDAD OPERATIVA. VEREDAS AFECTADAS LA TIGRA, EL TOLU, MIRABEL. SOLICITAN LAMINAS DE ZINC Y MERCADOS. SE OFICIO EN EL SENTIDO DE QUE ENVIEN REPORTE DE EMERGENCIAS Y CENSOS.</t>
  </si>
  <si>
    <t>LITORAL DE SAN JUAN</t>
  </si>
  <si>
    <t>REPORTE DEL CLE. NO ENVIAN  CENSOS. EL CLE ESTIMA LAS PERDIDAS TOTALES EN $200.000.000 PARA RECONSTRUCCION DE VIVIENDAS.  SE OFICIO INDICANDO QUE SE PUEDE APOYAR CON ELEMENTOS DE PRIMERA NECESIDAD</t>
  </si>
  <si>
    <t>ISNOS</t>
  </si>
  <si>
    <t>REPORTE DEL ALCALDE MUNICIPAL.. NO HAY CENSOS.</t>
  </si>
  <si>
    <t xml:space="preserve">REPORTA PERDIDA DE CULTIVOS Y ANIMALES, </t>
  </si>
  <si>
    <t>PERDIDA DE CULTIVOS DE MAIZ, ARROZ, PALTANO Y YUCA</t>
  </si>
  <si>
    <t>EL CRE REPORTA CONJUNTAMENTE EMERGENCIA EN LOS MUNICIPIOS DE CAIMITO, SUCRE Y SAN BENITO ABBAD. EL CLE Y CRE ESTA PRESTANDO ATENCION CON ALIMENTOS Y ENSERES</t>
  </si>
  <si>
    <t>VEREDAS NAGUATA, HERVIDERO, Y ESCOBAL</t>
  </si>
  <si>
    <t>VEREDAS MANCA, VISTAHERMOSA, Y BUENOS AIRES.</t>
  </si>
  <si>
    <t>RIO POGUE. REPORTE DE CRUZ ROJA. COMUNIDAD PANGUE, PIEDRA CANDELA, LA LOMA, WIA, CAMARARO, CORAZON DE JESUS Y CORRILLO.</t>
  </si>
  <si>
    <t>PERDIDA DE CULTIVOS DE YUCA, PLATANO, ÑAME Y AMIMALES DOMESTICOS.</t>
  </si>
  <si>
    <t>VEREDA MADRIGAL. SE SOLICITA AL CRE ATENDER LA SITUACION</t>
  </si>
  <si>
    <t>CLE EFECTUO EVACUACION DE FAMILIAS AFECTADAS.</t>
  </si>
  <si>
    <t>GIROS PARA LABORES DE ATENCION</t>
  </si>
  <si>
    <t>VEREDA MONTERREDONDO. EL MUNICIPIO CUENTA CON UN LOTE PARA LA REUBICACION. EN CUANTO A LA SOLICITUD PARA RECONSTRUIR LA VIA Y LOS GAVIONES EN LA RUTA PUENTE ZINC-ESMERALDAS, SE SOLICITO GESTIONAR ANTE EL INV O FIV.</t>
  </si>
  <si>
    <t>GIRO PARA DRAGADO RIO CARARE. CORREGIMIETNO LA INDIA.</t>
  </si>
  <si>
    <t>PIJIÑO DEL CARMEN</t>
  </si>
  <si>
    <t>CARTAGENA</t>
  </si>
  <si>
    <t>BARRIO LOMAS DE SAN FRANCISCO. SE REQUIERE REUBICACION. SE OFICIO INFORMANDO SOBRE PRESENTACION DE PREYECTO ANTE INURBE.</t>
  </si>
  <si>
    <t>PERDIDA DE COSECHAS Y GANADERIA</t>
  </si>
  <si>
    <t>SECTORES BAJO SANTA ELENA, BRISAS DEL HONG KONG, PUERTO PLAYA, PUERTO VEGA, TETEYE. SE AUTORIZO LA COMPRA EN PUERTO ASIS DE 1332 TEJAS.</t>
  </si>
  <si>
    <t>AFECTADA VEREDA SAN ISIDRO. SOLICITAN MATERIALES DE CONSTRUCCION. SE OFICIO INDICANDO QUE DEBEN ENVIAR ENSOS.</t>
  </si>
  <si>
    <t>DESBORDAMIENTO RIO BAUDO. INFORME PRELIMINAR DE CREUZ ROJA. SOLICITAN MENAJES. SE ESPERAN CENSOS PARA ENVIAR APOYO.</t>
  </si>
  <si>
    <t>EL TARRA</t>
  </si>
  <si>
    <t>OBJETO/EVENTO</t>
  </si>
  <si>
    <t>POBLACION OBJETO</t>
  </si>
  <si>
    <t>POBLACION ATENDIDA</t>
  </si>
  <si>
    <t>POBLACION UNIVERSO</t>
  </si>
  <si>
    <t>VALOR APOYADO</t>
  </si>
  <si>
    <t xml:space="preserve">CLE DISPUSO DE $1.000.000 PARA LA ATENCIÓN DE ESTA EMERGENCIA. SOLICITAN MATERIALES DE CONSTRUCCION. SE LES OFICIO SOLICITANDO CENSOS Y AVAL DE ENTIDAD OPERATIVA. </t>
  </si>
  <si>
    <t>TOLEDO</t>
  </si>
  <si>
    <t>SOLICITAN LAMINAS. SE OFICIO SOLICITANDO CENSOS Y AVAL DE ENTIDAD OPERATIVA.</t>
  </si>
  <si>
    <t>PUEBLO BELLO</t>
  </si>
  <si>
    <t>AFECTADOS 77 KMS DE VIAS Y 28 ALCANTARILLAS</t>
  </si>
  <si>
    <t>RIOSUCIO</t>
  </si>
  <si>
    <t>LLORO</t>
  </si>
  <si>
    <t>REPORTE DE CRUZ ROJA.</t>
  </si>
  <si>
    <t>LA POBLACION SE ENCUENTRA INCOMUNICADA, APROX. 2200 FAMILIAS. LA RECUPERACIÓN VIAL SE ESTIMA EN $92.400.000. EL  MUNICIPIO APORTA $46.200.000. SE EFECTUA GIRO PARA ADQUISICION DE COMBUSTIBLE.</t>
  </si>
  <si>
    <t>REPORTE DEL CLE SOBRE EMERGENCIAS ATENDIDAS DURANTE EL MES DE SEPTIEMBRE (INUNDACIONES Y DESLIZAMIENTOS)</t>
  </si>
  <si>
    <t>EL CLE ELABORO LOS CENSOS Y REALIZO LA EVACUACION DE LAS PERSONAS. AFECTADA CABECERA MUNICIPAL.  EL 15-10-98 SE DIO UN APOYO ADICIONAL PARA ESTE EVENTO.</t>
  </si>
  <si>
    <t>BAJO BAUDO (PIZARRO)</t>
  </si>
  <si>
    <t>CONVENCION</t>
  </si>
  <si>
    <t>CORREGIMIENTO DE TRINIDAD. REPORTE DE CRUZ ROJA</t>
  </si>
  <si>
    <t>ALTO BAUDO (PIE DE PATO)</t>
  </si>
  <si>
    <t>CULTIVOS</t>
  </si>
  <si>
    <t>SE RECIBIO COPIA DEL ACTA DEL COMITÉ LOCAL, PERO NO CUANTIFICAN DAÑOS NI NECESIDADES.</t>
  </si>
  <si>
    <t>VEREDAS CARBONERO, EL DIQUE, SANTA BARBARA, MULAS Y LOS ANGELITOS.</t>
  </si>
  <si>
    <t>CONCORDIA</t>
  </si>
  <si>
    <t>MURINDO</t>
  </si>
  <si>
    <t>NATAGAIMA</t>
  </si>
  <si>
    <t xml:space="preserve">INUNDACION POR DESBORDAMIENTO DE LA QUEBRADA NATURCO. </t>
  </si>
  <si>
    <t>ARROYO DE PIEDRA. EXPLOSION DEL GASODUCTO. REPORTE INICIAL.</t>
  </si>
  <si>
    <t xml:space="preserve">VEREDAS BELLA LUZ, CAMPO ALEGRE Y ZONA URBANA. ATENDIO EL MUNICIPIO </t>
  </si>
  <si>
    <t>VEREDAS LA ESPERANZA, BRISAS DEL CAUCA Y CORREGIMIENTOS DE PALOMAR Y MARGENTO</t>
  </si>
  <si>
    <t>ISLAS DE PUERTO MURILLO</t>
  </si>
  <si>
    <t>DABEIBA</t>
  </si>
  <si>
    <t>SANTO DOMINGO - CISNEROS</t>
  </si>
  <si>
    <t>CORREGIMIENTO DE SAN ANTONIO. EL CLE RECONSTRUYO LA ESCUELA</t>
  </si>
  <si>
    <t>ZONA RIBEREÑA. AFECTADO EL CARRETEABLE. SE ESTIMAN 626 FAMILIAS AFECTADAS.</t>
  </si>
  <si>
    <t>REPELON</t>
  </si>
  <si>
    <t xml:space="preserve">PERDIDA DE LINEAS ELECTRICAS Y CULTIVOS </t>
  </si>
  <si>
    <t>LURUACO</t>
  </si>
  <si>
    <t>NO HAY REPORTE DE AFECTACION. EL CRE PRESTO ASESORIA</t>
  </si>
  <si>
    <t>GIRARDOTA</t>
  </si>
  <si>
    <t>REPORTE DEL CRE.</t>
  </si>
  <si>
    <t>GUARNE</t>
  </si>
  <si>
    <t>REPORTE DEL CRE</t>
  </si>
  <si>
    <t>BARRANQUILA</t>
  </si>
  <si>
    <t>DESBORDAMIENTO Q. LA IGUA Y LAS DAMAS AFECTADOS BARRIOS SIENTE DE AGOSTO, EL TRIUNFO, Y SANTAFE. SOLICITAN MENAJES .</t>
  </si>
  <si>
    <t>PERDIDA DE CULTIVOS SE ESTIMAN EL $15.000.000.</t>
  </si>
  <si>
    <t>LANDAZURI</t>
  </si>
  <si>
    <t>REPORTE DE CRUZ ROJA. DESBORDAMIENTO DE LOS RIOS FRIO Y OROCUE. AFECTADAS VEREDAS LLANO ALTO Y EL HOYO. NO INDICAN NECESIDADES. SE ESPERA REPORTE DEL CRE.</t>
  </si>
  <si>
    <t>INUNDACION Y DESBORDAMIENTO Q. LA CHAMA Y MATADERO. BARRIO SAN MARCOS. EL CLE ESTA REALIZANSO EDAN Y EVACUACION DE FAMILIAS. REPORTE PRELIMINAR.</t>
  </si>
  <si>
    <t>DAÑOS EN EL SERVICIO ELECTRICO</t>
  </si>
  <si>
    <t>AVALANCHA QUEBRADAS LA BELLA Y LA CAUCHERA Y EL RIO GUADUAL, SECTOR DE LOS ANDES. SE ENCUENTRAN OTRAS 12 VIVIENDAS EN RIESGO. EVACUADAS 25 FAMILIAS Y AFECTADAS 120 FINCAS .</t>
  </si>
  <si>
    <t>SEGOVIA</t>
  </si>
  <si>
    <t>GLOBAL</t>
  </si>
  <si>
    <t>JURADO</t>
  </si>
  <si>
    <r>
      <t xml:space="preserve">AFECTADAS VEREDAS CINEGA, CHIQUITA, CIENEGA GRANDE.SOLICITAN LAMINAS Y MATERIALES DE CONSTRUCCION. SE SOLICITO AL CRE EL EDAN. </t>
    </r>
    <r>
      <rPr>
        <sz val="9"/>
        <rFont val="Arial"/>
        <family val="2"/>
      </rPr>
      <t>PENDIENTE APOYO.</t>
    </r>
  </si>
  <si>
    <t>FECHA</t>
  </si>
  <si>
    <t>DEPARTAMENTO</t>
  </si>
  <si>
    <t>MUNICIPIO</t>
  </si>
  <si>
    <t>EVENTO</t>
  </si>
  <si>
    <t>PERSONAS</t>
  </si>
  <si>
    <t>OBSERVACIONES</t>
  </si>
  <si>
    <t>ANTIOQUIA</t>
  </si>
  <si>
    <t>INUNDACION</t>
  </si>
  <si>
    <t>FAMILIAS</t>
  </si>
  <si>
    <t>SACOS</t>
  </si>
  <si>
    <t>TOLDILLOS</t>
  </si>
  <si>
    <t>TOALLAS</t>
  </si>
  <si>
    <t>CHOCOLATERA</t>
  </si>
  <si>
    <t>OLLAS</t>
  </si>
  <si>
    <t>ESTUFAS</t>
  </si>
  <si>
    <t>BOYACA</t>
  </si>
  <si>
    <t>VIAS</t>
  </si>
  <si>
    <t>MERCADOS</t>
  </si>
  <si>
    <t>MUERTOS</t>
  </si>
  <si>
    <t>DESCRIPCION Y UBICACIÓN</t>
  </si>
  <si>
    <t>HERIDOS</t>
  </si>
  <si>
    <t>DESAPA.</t>
  </si>
  <si>
    <t>PTES.VEHIC.</t>
  </si>
  <si>
    <t>PTES.PEAT.</t>
  </si>
  <si>
    <t>ACUED.</t>
  </si>
  <si>
    <t>C. SALUD</t>
  </si>
  <si>
    <t>C.EDUCAT.</t>
  </si>
  <si>
    <t>ALCANT.</t>
  </si>
  <si>
    <t>C.COMUNIT.</t>
  </si>
  <si>
    <t>MENAJES</t>
  </si>
  <si>
    <t>TEJAS</t>
  </si>
  <si>
    <t>APOYO FONDO NACIONAL DE CALAMIDADES</t>
  </si>
  <si>
    <t>ECONOM.</t>
  </si>
  <si>
    <t>AP.ALIMENT.</t>
  </si>
  <si>
    <t>OTROS</t>
  </si>
  <si>
    <t xml:space="preserve"> A F E C T A C I Ó N</t>
  </si>
  <si>
    <t>VIV.DESTRU.</t>
  </si>
  <si>
    <t>VIV.AVER.</t>
  </si>
  <si>
    <t>CANTIDAD</t>
  </si>
  <si>
    <t>VALOR</t>
  </si>
  <si>
    <t>CEPILLO ADULTO</t>
  </si>
  <si>
    <t>CEPILLO NIÑO</t>
  </si>
  <si>
    <t>CINTA EMPALMAR</t>
  </si>
  <si>
    <t>COBIJA</t>
  </si>
  <si>
    <t>COLCHONETA</t>
  </si>
  <si>
    <t>CREMA DENTAL</t>
  </si>
  <si>
    <t>CREMA DESOD.</t>
  </si>
  <si>
    <t>HAMACAS</t>
  </si>
  <si>
    <t>JABON BAÑO</t>
  </si>
  <si>
    <t>JUEGO CUBIERTOS</t>
  </si>
  <si>
    <t>PEINILLA</t>
  </si>
  <si>
    <t>PLATO HONDO</t>
  </si>
  <si>
    <t>PLATO PANDO</t>
  </si>
  <si>
    <t>POCILLO</t>
  </si>
  <si>
    <t>SABANAS</t>
  </si>
  <si>
    <t xml:space="preserve">M E N A J E S </t>
  </si>
  <si>
    <t>VALOR TOTAL</t>
  </si>
  <si>
    <t>COBIJA TERMICA</t>
  </si>
  <si>
    <t>INC.FORESTAL</t>
  </si>
  <si>
    <t>VIGIA DEL FUERTE</t>
  </si>
  <si>
    <t>V. PALO BLANCO, INUNDACION RIO ATRATO</t>
  </si>
  <si>
    <t>VARIOS</t>
  </si>
  <si>
    <t>AFECTADAS 263 HAS. DE PASTO Y BOSQUES</t>
  </si>
  <si>
    <t>CORDOBA</t>
  </si>
  <si>
    <t>BUENAVISTA</t>
  </si>
  <si>
    <t>INC.ESTRUCTURAL</t>
  </si>
  <si>
    <t>ENSERES</t>
  </si>
  <si>
    <t>B. POLIDEPORTIVO.CLE SOLICITO MATERIALES Y MENAJES</t>
  </si>
  <si>
    <t>MAGDALENA</t>
  </si>
  <si>
    <t>PLATO</t>
  </si>
  <si>
    <t>SEQUIA</t>
  </si>
  <si>
    <t>LINEAS ELECTRICAS</t>
  </si>
  <si>
    <t>REPORTE DEL CLE.</t>
  </si>
  <si>
    <t>ANTROPICO</t>
  </si>
  <si>
    <t>EL CLE INFORMA QUE TODA LA POBLACIÓN ESTA AFECTADA: 29790 PERSONAS</t>
  </si>
  <si>
    <t>NARIÑO</t>
  </si>
  <si>
    <t>MAGUI PAYAN</t>
  </si>
  <si>
    <t>DESLIZAMIENTO</t>
  </si>
  <si>
    <t>C. SAN LUIS. AFECTADA LA IGLESIA.SOLICITAN COLABORACIÓN.</t>
  </si>
  <si>
    <t>NORTE DE SANTANDER</t>
  </si>
  <si>
    <t>PAMPLONA</t>
  </si>
  <si>
    <t>AFECTADAS 100 HAS Y NACEDEROS</t>
  </si>
  <si>
    <t>V. ALCAPARRAL. ESTA DIFICIL DE CONTROLAR POR DIFICULTAD EN ACCESO.. QUEMA DE BOSQUES NATURALES.</t>
  </si>
  <si>
    <t>AFECTADAS 50 HAS.</t>
  </si>
  <si>
    <t>ENTIDADES OPERATIVAS TRABAJARON EN LA ZONA.</t>
  </si>
  <si>
    <t>SANTANDER</t>
  </si>
  <si>
    <t>BUCARAMANGA</t>
  </si>
  <si>
    <t>B.LA PLAYA,LA PLAYITA, PIZARRO, LEON GOMEZ, CINCO DE ENERO, JOSE ANTONIO GALAN. DESBORDAMIENTO RIO DE ORO. SOLICITAN APOYO FNC.</t>
  </si>
  <si>
    <t>GIRON</t>
  </si>
  <si>
    <t>B.LAS MARIAS, INDEPENDENCIA, INMACULADA, ISLAS, BRISAS DEL RIO, EL CARMEN LA CONSTITUYENTE, CONVIVIR..SOLICITAN APOYO</t>
  </si>
  <si>
    <t>SUCRE</t>
  </si>
  <si>
    <t>SAN BENITO ABBAD</t>
  </si>
  <si>
    <t>AFECTADOS CULTIVOS Y PESCA</t>
  </si>
  <si>
    <t>TOTALES</t>
  </si>
  <si>
    <t>BELLO</t>
  </si>
  <si>
    <t>ATENDIERON CLE Y CRE</t>
  </si>
  <si>
    <t>JERICO</t>
  </si>
  <si>
    <t>VENDAVAL</t>
  </si>
  <si>
    <t>V.PUEBLO VIEJO. CLE APORTO CEMENTO, CERCHAS Y MANO DE OBRA</t>
  </si>
  <si>
    <t>LA UVITA</t>
  </si>
  <si>
    <t>SOLICITAN  APOYO NO ENVIAN CENSOS</t>
  </si>
  <si>
    <t>SAN MIGUEL DE SEMA</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</si>
</sst>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quot;#,##0_);\(&quot;N$&quot;#,##0\)"/>
    <numFmt numFmtId="173" formatCode="&quot;N$&quot;#,##0_);[Red]\(&quot;N$&quot;#,##0\)"/>
    <numFmt numFmtId="174" formatCode="&quot;N$&quot;#,##0.00_);\(&quot;N$&quot;#,##0.00\)"/>
    <numFmt numFmtId="175" formatCode="&quot;N$&quot;#,##0.00_);[Red]\(&quot;N$&quot;#,##0.00\)"/>
    <numFmt numFmtId="176" formatCode="_(&quot;N$&quot;* #,##0_);_(&quot;N$&quot;* \(#,##0\);_(&quot;N$&quot;* &quot;-&quot;_);_(@_)"/>
    <numFmt numFmtId="177" formatCode="_(&quot;N$&quot;* #,##0.00_);_(&quot;N$&quot;* \(#,##0.00\);_(&quot;N$&quot;* &quot;-&quot;??_);_(@_)"/>
    <numFmt numFmtId="178" formatCode="&quot;C$&quot;#,##0_);\(&quot;C$&quot;#,##0\)"/>
    <numFmt numFmtId="179" formatCode="&quot;C$&quot;#,##0_);[Red]\(&quot;C$&quot;#,##0\)"/>
    <numFmt numFmtId="180" formatCode="&quot;C$&quot;#,##0.00_);\(&quot;C$&quot;#,##0.00\)"/>
    <numFmt numFmtId="181" formatCode="&quot;C$&quot;#,##0.00_);[Red]\(&quot;C$&quot;#,##0.00\)"/>
    <numFmt numFmtId="182" formatCode="_(&quot;C$&quot;* #,##0_);_(&quot;C$&quot;* \(#,##0\);_(&quot;C$&quot;* &quot;-&quot;_);_(@_)"/>
    <numFmt numFmtId="183" formatCode="_(&quot;C$&quot;* #,##0.00_);_(&quot;C$&quot;* \(#,##0.00\);_(&quot;C$&quot;* &quot;-&quot;??_);_(@_)"/>
    <numFmt numFmtId="184" formatCode="dd\-mmm\-\y\y"/>
    <numFmt numFmtId="185" formatCode="&quot;$&quot;#,##0.00"/>
    <numFmt numFmtId="186" formatCode="&quot;$&quot;#,##0.0"/>
    <numFmt numFmtId="187" formatCode="#,##0.0"/>
    <numFmt numFmtId="188" formatCode="&quot;$&quot;#,##0"/>
    <numFmt numFmtId="189" formatCode="&quot;$&quot;#,##0.00;[Red]&quot;$&quot;#,##0.00"/>
    <numFmt numFmtId="190" formatCode="&quot;$&quot;#,##0.000"/>
    <numFmt numFmtId="191" formatCode="_(&quot;$&quot;* #,##0.0_);_(&quot;$&quot;* \(#,##0.0\);_(&quot;$&quot;* &quot;-&quot;??_);_(@_)"/>
  </numFmts>
  <fonts count="19">
    <font>
      <sz val="10"/>
      <name val="Arial"/>
      <family val="0"/>
    </font>
    <font>
      <sz val="8"/>
      <name val="Tahoma"/>
      <family val="2"/>
    </font>
    <font>
      <b/>
      <sz val="10"/>
      <name val="Arial"/>
      <family val="2"/>
    </font>
    <font>
      <sz val="8"/>
      <name val="Arial"/>
      <family val="2"/>
    </font>
    <font>
      <b/>
      <sz val="12"/>
      <name val="Arial"/>
      <family val="2"/>
    </font>
    <font>
      <sz val="12"/>
      <name val="Arial"/>
      <family val="2"/>
    </font>
    <font>
      <b/>
      <sz val="8"/>
      <name val="Arial"/>
      <family val="2"/>
    </font>
    <font>
      <sz val="6"/>
      <name val="Arial"/>
      <family val="2"/>
    </font>
    <font>
      <u val="single"/>
      <sz val="10"/>
      <color indexed="12"/>
      <name val="Arial"/>
      <family val="0"/>
    </font>
    <font>
      <b/>
      <sz val="14"/>
      <name val="Arial"/>
      <family val="2"/>
    </font>
    <font>
      <i/>
      <sz val="6"/>
      <name val="Arial"/>
      <family val="2"/>
    </font>
    <font>
      <sz val="9"/>
      <name val="Arial"/>
      <family val="2"/>
    </font>
    <font>
      <b/>
      <i/>
      <sz val="9"/>
      <name val="Arial"/>
      <family val="2"/>
    </font>
    <font>
      <u val="single"/>
      <sz val="10"/>
      <color indexed="36"/>
      <name val="Arial"/>
      <family val="0"/>
    </font>
    <font>
      <b/>
      <sz val="11"/>
      <name val="Arial"/>
      <family val="0"/>
    </font>
    <font>
      <b/>
      <i/>
      <sz val="8"/>
      <name val="Arial"/>
      <family val="2"/>
    </font>
    <font>
      <sz val="16"/>
      <name val="Arial"/>
      <family val="0"/>
    </font>
    <font>
      <b/>
      <sz val="19"/>
      <name val="Arial"/>
      <family val="0"/>
    </font>
    <font>
      <b/>
      <sz val="9"/>
      <name val="Arial"/>
      <family val="2"/>
    </font>
  </fonts>
  <fills count="12">
    <fill>
      <patternFill/>
    </fill>
    <fill>
      <patternFill patternType="gray125"/>
    </fill>
    <fill>
      <patternFill patternType="lightGray">
        <bgColor indexed="34"/>
      </patternFill>
    </fill>
    <fill>
      <patternFill patternType="solid">
        <fgColor indexed="46"/>
        <bgColor indexed="64"/>
      </patternFill>
    </fill>
    <fill>
      <patternFill patternType="lightGray">
        <bgColor indexed="15"/>
      </patternFill>
    </fill>
    <fill>
      <patternFill patternType="gray0625">
        <bgColor indexed="11"/>
      </patternFill>
    </fill>
    <fill>
      <patternFill patternType="gray0625">
        <bgColor indexed="34"/>
      </patternFill>
    </fill>
    <fill>
      <patternFill patternType="gray0625">
        <bgColor indexed="15"/>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
      <patternFill patternType="solid">
        <fgColor indexed="15"/>
        <bgColor indexed="64"/>
      </patternFill>
    </fill>
  </fills>
  <borders count="50">
    <border>
      <left/>
      <right/>
      <top/>
      <bottom/>
      <diagonal/>
    </border>
    <border>
      <left style="thick"/>
      <right style="thick"/>
      <top style="thick"/>
      <bottom style="thick"/>
    </border>
    <border>
      <left style="thick"/>
      <right>
        <color indexed="63"/>
      </right>
      <top style="thick"/>
      <bottom style="thick"/>
    </border>
    <border>
      <left style="medium"/>
      <right style="medium"/>
      <top style="medium"/>
      <bottom style="medium"/>
    </border>
    <border>
      <left style="thin"/>
      <right style="thin"/>
      <top>
        <color indexed="63"/>
      </top>
      <bottom style="thin"/>
    </border>
    <border>
      <left style="medium"/>
      <right>
        <color indexed="63"/>
      </right>
      <top style="medium"/>
      <bottom style="medium"/>
    </border>
    <border>
      <left style="thin"/>
      <right style="thin"/>
      <top style="thin"/>
      <bottom style="thin"/>
    </border>
    <border>
      <left style="thick"/>
      <right style="thin"/>
      <top style="thick"/>
      <bottom style="thin"/>
    </border>
    <border>
      <left style="thin"/>
      <right style="thin"/>
      <top style="thick"/>
      <bottom style="thin"/>
    </border>
    <border>
      <left style="thick"/>
      <right style="thin"/>
      <top style="thin"/>
      <bottom style="thin"/>
    </border>
    <border>
      <left style="thick"/>
      <right style="thin"/>
      <top style="thin"/>
      <bottom style="double"/>
    </border>
    <border>
      <left style="thin"/>
      <right style="thin"/>
      <top style="thin"/>
      <bottom style="double"/>
    </border>
    <border>
      <left style="thin"/>
      <right style="thick"/>
      <top style="thin"/>
      <bottom style="thin"/>
    </border>
    <border>
      <left style="thin"/>
      <right style="thick"/>
      <top style="thin"/>
      <bottom style="double"/>
    </border>
    <border>
      <left style="thin">
        <color indexed="8"/>
      </left>
      <right>
        <color indexed="63"/>
      </right>
      <top style="thin">
        <color indexed="8"/>
      </top>
      <bottom>
        <color indexed="63"/>
      </bottom>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n"/>
      <right style="thin"/>
      <top>
        <color indexed="63"/>
      </top>
      <bottom>
        <color indexed="63"/>
      </bottom>
    </border>
    <border>
      <left style="thick"/>
      <right style="thin"/>
      <top>
        <color indexed="63"/>
      </top>
      <bottom style="double"/>
    </border>
    <border>
      <left style="thin"/>
      <right style="thin"/>
      <top>
        <color indexed="63"/>
      </top>
      <bottom style="double"/>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color indexed="63"/>
      </left>
      <right style="thick"/>
      <top style="thin"/>
      <bottom style="thin"/>
    </border>
    <border>
      <left>
        <color indexed="63"/>
      </left>
      <right style="thick"/>
      <top style="thin"/>
      <bottom>
        <color indexed="63"/>
      </bottom>
    </border>
    <border>
      <left>
        <color indexed="63"/>
      </left>
      <right style="thick"/>
      <top style="thin"/>
      <bottom style="double"/>
    </border>
    <border>
      <left>
        <color indexed="63"/>
      </left>
      <right style="thick"/>
      <top>
        <color indexed="63"/>
      </top>
      <bottom>
        <color indexed="63"/>
      </bottom>
    </border>
    <border>
      <left style="thin"/>
      <right style="thick"/>
      <top style="thick"/>
      <bottom style="thin"/>
    </border>
    <border>
      <left style="thin"/>
      <right style="thick"/>
      <top>
        <color indexed="63"/>
      </top>
      <bottom style="double"/>
    </border>
    <border>
      <left style="thin"/>
      <right style="thin"/>
      <top style="thick"/>
      <bottom>
        <color indexed="63"/>
      </bottom>
    </border>
    <border>
      <left style="thin"/>
      <right style="thick"/>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ck"/>
      <top style="thick"/>
      <bottom>
        <color indexed="63"/>
      </bottom>
    </border>
    <border>
      <left>
        <color indexed="63"/>
      </left>
      <right style="thick"/>
      <top>
        <color indexed="63"/>
      </top>
      <bottom style="thick"/>
    </border>
    <border>
      <left>
        <color indexed="63"/>
      </left>
      <right>
        <color indexed="63"/>
      </right>
      <top style="double"/>
      <bottom>
        <color indexed="63"/>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184" fontId="0" fillId="0" borderId="0" xfId="0" applyNumberFormat="1" applyAlignment="1">
      <alignment vertical="top"/>
    </xf>
    <xf numFmtId="0" fontId="2" fillId="0" borderId="0" xfId="0" applyFont="1" applyAlignment="1">
      <alignment vertical="top"/>
    </xf>
    <xf numFmtId="0" fontId="0" fillId="0" borderId="0" xfId="0" applyAlignment="1">
      <alignment vertical="top" wrapText="1"/>
    </xf>
    <xf numFmtId="0" fontId="0" fillId="0" borderId="0" xfId="0" applyAlignment="1">
      <alignment vertical="top"/>
    </xf>
    <xf numFmtId="184" fontId="2" fillId="2" borderId="1" xfId="0" applyNumberFormat="1" applyFont="1" applyFill="1" applyBorder="1" applyAlignment="1">
      <alignment horizontal="center" vertical="top"/>
    </xf>
    <xf numFmtId="185" fontId="0" fillId="0" borderId="0" xfId="0" applyNumberFormat="1" applyAlignment="1">
      <alignment vertical="top"/>
    </xf>
    <xf numFmtId="0" fontId="3" fillId="0" borderId="0" xfId="0" applyFont="1" applyAlignment="1">
      <alignment vertical="top" wrapText="1"/>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6" fillId="0" borderId="3" xfId="0" applyFont="1" applyBorder="1" applyAlignment="1">
      <alignment horizontal="center" wrapText="1"/>
    </xf>
    <xf numFmtId="187" fontId="3" fillId="0" borderId="4" xfId="0" applyNumberFormat="1" applyFont="1" applyBorder="1" applyAlignment="1">
      <alignment/>
    </xf>
    <xf numFmtId="0" fontId="6" fillId="3" borderId="3" xfId="0" applyFont="1" applyFill="1" applyBorder="1" applyAlignment="1">
      <alignment horizontal="center"/>
    </xf>
    <xf numFmtId="0" fontId="6" fillId="3" borderId="3" xfId="0" applyFont="1" applyFill="1" applyBorder="1" applyAlignment="1">
      <alignment horizontal="center" wrapText="1"/>
    </xf>
    <xf numFmtId="0" fontId="2" fillId="3" borderId="5" xfId="0" applyFont="1" applyFill="1" applyBorder="1" applyAlignment="1">
      <alignment horizontal="center"/>
    </xf>
    <xf numFmtId="0" fontId="6" fillId="3" borderId="5" xfId="0" applyFont="1" applyFill="1" applyBorder="1" applyAlignment="1">
      <alignment horizontal="center" wrapText="1"/>
    </xf>
    <xf numFmtId="3" fontId="3" fillId="0" borderId="4" xfId="0" applyNumberFormat="1" applyFont="1" applyBorder="1" applyAlignment="1">
      <alignment/>
    </xf>
    <xf numFmtId="3" fontId="3" fillId="0" borderId="6" xfId="0" applyNumberFormat="1" applyFont="1" applyBorder="1" applyAlignment="1">
      <alignment/>
    </xf>
    <xf numFmtId="15" fontId="3" fillId="0" borderId="7" xfId="0" applyNumberFormat="1" applyFont="1" applyBorder="1" applyAlignment="1">
      <alignment horizontal="justify" vertical="top"/>
    </xf>
    <xf numFmtId="0" fontId="3" fillId="0" borderId="8" xfId="0" applyFont="1" applyBorder="1" applyAlignment="1">
      <alignment horizontal="justify" vertical="top"/>
    </xf>
    <xf numFmtId="15" fontId="3" fillId="0" borderId="9" xfId="0" applyNumberFormat="1" applyFont="1" applyBorder="1" applyAlignment="1">
      <alignment horizontal="justify" vertical="top"/>
    </xf>
    <xf numFmtId="0" fontId="3" fillId="0" borderId="6" xfId="0" applyFont="1" applyBorder="1" applyAlignment="1">
      <alignment horizontal="justify" vertical="top"/>
    </xf>
    <xf numFmtId="0" fontId="3" fillId="0" borderId="6" xfId="0" applyFont="1" applyBorder="1" applyAlignment="1">
      <alignment horizontal="justify" vertical="top" wrapText="1"/>
    </xf>
    <xf numFmtId="15" fontId="3" fillId="0" borderId="10" xfId="0" applyNumberFormat="1" applyFont="1" applyBorder="1" applyAlignment="1">
      <alignment horizontal="justify" vertical="top"/>
    </xf>
    <xf numFmtId="0" fontId="6" fillId="0" borderId="11" xfId="0" applyFont="1" applyBorder="1" applyAlignment="1">
      <alignment horizontal="justify" vertical="top"/>
    </xf>
    <xf numFmtId="0" fontId="3" fillId="0" borderId="11" xfId="0" applyFont="1" applyBorder="1" applyAlignment="1">
      <alignment horizontal="justify" vertical="top"/>
    </xf>
    <xf numFmtId="0" fontId="7" fillId="0" borderId="12" xfId="0" applyFont="1" applyBorder="1" applyAlignment="1">
      <alignment horizontal="justify" vertical="top"/>
    </xf>
    <xf numFmtId="0" fontId="7" fillId="0" borderId="13" xfId="0" applyFont="1" applyBorder="1" applyAlignment="1">
      <alignment horizontal="justify" vertical="top"/>
    </xf>
    <xf numFmtId="3" fontId="7" fillId="0" borderId="8" xfId="0" applyNumberFormat="1" applyFont="1" applyBorder="1" applyAlignment="1">
      <alignment horizontal="justify" vertical="top"/>
    </xf>
    <xf numFmtId="3" fontId="7" fillId="0" borderId="6" xfId="0" applyNumberFormat="1" applyFont="1" applyBorder="1" applyAlignment="1">
      <alignment horizontal="justify" vertical="top"/>
    </xf>
    <xf numFmtId="3" fontId="7" fillId="0" borderId="11" xfId="0" applyNumberFormat="1" applyFont="1" applyBorder="1" applyAlignment="1">
      <alignment horizontal="justify" vertical="top"/>
    </xf>
    <xf numFmtId="186" fontId="3" fillId="0" borderId="4" xfId="0" applyNumberFormat="1" applyFont="1" applyBorder="1" applyAlignment="1">
      <alignment vertical="top"/>
    </xf>
    <xf numFmtId="0" fontId="6" fillId="4" borderId="1" xfId="0" applyFont="1" applyFill="1" applyBorder="1" applyAlignment="1">
      <alignment horizontal="center" vertical="top"/>
    </xf>
    <xf numFmtId="185" fontId="6" fillId="4" borderId="1" xfId="0" applyNumberFormat="1" applyFont="1" applyFill="1" applyBorder="1" applyAlignment="1">
      <alignment horizontal="center" vertical="top"/>
    </xf>
    <xf numFmtId="184" fontId="0" fillId="0" borderId="0" xfId="0" applyNumberFormat="1" applyFont="1" applyAlignment="1">
      <alignment vertical="top"/>
    </xf>
    <xf numFmtId="0" fontId="0" fillId="0" borderId="14" xfId="0" applyBorder="1" applyAlignment="1">
      <alignment/>
    </xf>
    <xf numFmtId="186" fontId="3" fillId="0" borderId="8" xfId="0" applyNumberFormat="1" applyFont="1" applyBorder="1" applyAlignment="1">
      <alignment vertical="top"/>
    </xf>
    <xf numFmtId="186" fontId="3" fillId="0" borderId="6" xfId="0" applyNumberFormat="1" applyFont="1" applyBorder="1" applyAlignment="1">
      <alignment vertical="top"/>
    </xf>
    <xf numFmtId="15" fontId="3" fillId="0" borderId="15" xfId="0" applyNumberFormat="1" applyFont="1" applyBorder="1" applyAlignment="1">
      <alignment horizontal="justify" vertical="top"/>
    </xf>
    <xf numFmtId="0" fontId="3" fillId="0" borderId="16" xfId="0" applyFont="1" applyBorder="1" applyAlignment="1">
      <alignment horizontal="justify" vertical="top" wrapText="1"/>
    </xf>
    <xf numFmtId="0" fontId="3" fillId="0" borderId="16" xfId="0" applyFont="1" applyBorder="1" applyAlignment="1">
      <alignment horizontal="justify" vertical="top"/>
    </xf>
    <xf numFmtId="3" fontId="7" fillId="0" borderId="16" xfId="0" applyNumberFormat="1" applyFont="1" applyBorder="1" applyAlignment="1">
      <alignment horizontal="justify" vertical="top"/>
    </xf>
    <xf numFmtId="186" fontId="3" fillId="0" borderId="16" xfId="0" applyNumberFormat="1" applyFont="1" applyBorder="1" applyAlignment="1">
      <alignment vertical="top"/>
    </xf>
    <xf numFmtId="0" fontId="7" fillId="0" borderId="17" xfId="0" applyFont="1" applyBorder="1" applyAlignment="1">
      <alignment horizontal="justify" vertical="top"/>
    </xf>
    <xf numFmtId="3" fontId="2" fillId="0" borderId="8" xfId="0" applyNumberFormat="1" applyFont="1" applyBorder="1" applyAlignment="1">
      <alignment horizontal="right" vertical="top"/>
    </xf>
    <xf numFmtId="3" fontId="2" fillId="0" borderId="8" xfId="0" applyNumberFormat="1" applyFont="1" applyBorder="1" applyAlignment="1">
      <alignment vertical="top"/>
    </xf>
    <xf numFmtId="3" fontId="2" fillId="0" borderId="6" xfId="0" applyNumberFormat="1" applyFont="1" applyBorder="1" applyAlignment="1">
      <alignment horizontal="right" vertical="top"/>
    </xf>
    <xf numFmtId="3" fontId="2" fillId="0" borderId="6" xfId="0" applyNumberFormat="1" applyFont="1" applyBorder="1" applyAlignment="1">
      <alignment vertical="top"/>
    </xf>
    <xf numFmtId="3" fontId="2" fillId="0" borderId="16" xfId="0" applyNumberFormat="1" applyFont="1" applyBorder="1" applyAlignment="1">
      <alignment horizontal="right" vertical="top"/>
    </xf>
    <xf numFmtId="3" fontId="2" fillId="0" borderId="16" xfId="0" applyNumberFormat="1" applyFont="1" applyBorder="1" applyAlignment="1">
      <alignment vertical="top"/>
    </xf>
    <xf numFmtId="3" fontId="2" fillId="0" borderId="11" xfId="0" applyNumberFormat="1" applyFont="1" applyBorder="1" applyAlignment="1">
      <alignment horizontal="right" vertical="top"/>
    </xf>
    <xf numFmtId="3" fontId="2" fillId="0" borderId="11" xfId="0" applyNumberFormat="1" applyFont="1" applyBorder="1" applyAlignment="1">
      <alignment vertical="top"/>
    </xf>
    <xf numFmtId="0" fontId="3" fillId="0" borderId="16" xfId="0" applyFont="1" applyBorder="1" applyAlignment="1">
      <alignment/>
    </xf>
    <xf numFmtId="3" fontId="6" fillId="0" borderId="0" xfId="0" applyNumberFormat="1" applyFont="1" applyAlignment="1">
      <alignment vertical="top"/>
    </xf>
    <xf numFmtId="185" fontId="2" fillId="0" borderId="0" xfId="0" applyNumberFormat="1" applyFont="1" applyAlignment="1">
      <alignment vertical="top"/>
    </xf>
    <xf numFmtId="0" fontId="3" fillId="0" borderId="6" xfId="0" applyFont="1" applyBorder="1" applyAlignment="1">
      <alignment/>
    </xf>
    <xf numFmtId="0" fontId="11" fillId="0" borderId="0" xfId="0" applyFont="1" applyAlignment="1">
      <alignment horizontal="justify" vertical="top"/>
    </xf>
    <xf numFmtId="186" fontId="3" fillId="0" borderId="16" xfId="15" applyNumberFormat="1" applyFont="1" applyBorder="1" applyAlignment="1">
      <alignment vertical="top"/>
    </xf>
    <xf numFmtId="14" fontId="3" fillId="0" borderId="16" xfId="0" applyNumberFormat="1" applyFont="1" applyBorder="1" applyAlignment="1">
      <alignment/>
    </xf>
    <xf numFmtId="3" fontId="3" fillId="0" borderId="16" xfId="0" applyNumberFormat="1" applyFont="1" applyBorder="1" applyAlignment="1">
      <alignment vertical="top"/>
    </xf>
    <xf numFmtId="187" fontId="3" fillId="0" borderId="16" xfId="0" applyNumberFormat="1" applyFont="1" applyBorder="1" applyAlignment="1">
      <alignment/>
    </xf>
    <xf numFmtId="186" fontId="3" fillId="0" borderId="18" xfId="0" applyNumberFormat="1" applyFont="1" applyBorder="1" applyAlignment="1">
      <alignment vertical="top"/>
    </xf>
    <xf numFmtId="0" fontId="2" fillId="5" borderId="1" xfId="0" applyFont="1" applyFill="1" applyBorder="1" applyAlignment="1">
      <alignment horizontal="center" vertical="top"/>
    </xf>
    <xf numFmtId="0" fontId="2" fillId="5" borderId="1" xfId="0" applyFont="1" applyFill="1" applyBorder="1" applyAlignment="1">
      <alignment vertical="top"/>
    </xf>
    <xf numFmtId="0" fontId="2" fillId="5" borderId="2" xfId="0" applyFont="1" applyFill="1" applyBorder="1" applyAlignment="1">
      <alignment vertical="top"/>
    </xf>
    <xf numFmtId="184" fontId="2" fillId="6" borderId="1" xfId="0" applyNumberFormat="1" applyFont="1" applyFill="1" applyBorder="1" applyAlignment="1">
      <alignment horizontal="center" vertical="top"/>
    </xf>
    <xf numFmtId="0" fontId="2" fillId="6" borderId="1" xfId="0" applyFont="1" applyFill="1" applyBorder="1" applyAlignment="1">
      <alignment horizontal="center" vertical="top"/>
    </xf>
    <xf numFmtId="0" fontId="2" fillId="7" borderId="1" xfId="0" applyFont="1" applyFill="1" applyBorder="1" applyAlignment="1">
      <alignment horizontal="center" vertical="top"/>
    </xf>
    <xf numFmtId="15" fontId="3" fillId="0" borderId="19" xfId="0" applyNumberFormat="1" applyFont="1" applyBorder="1" applyAlignment="1">
      <alignment horizontal="justify" vertical="top"/>
    </xf>
    <xf numFmtId="0" fontId="6" fillId="0" borderId="20" xfId="0" applyFont="1" applyBorder="1" applyAlignment="1">
      <alignment horizontal="justify" vertical="top"/>
    </xf>
    <xf numFmtId="0" fontId="3" fillId="0" borderId="20" xfId="0" applyFont="1" applyBorder="1" applyAlignment="1">
      <alignment horizontal="justify" vertical="top"/>
    </xf>
    <xf numFmtId="3" fontId="2" fillId="0" borderId="20" xfId="0" applyNumberFormat="1" applyFont="1" applyBorder="1" applyAlignment="1">
      <alignment horizontal="right" vertical="top"/>
    </xf>
    <xf numFmtId="3" fontId="2" fillId="0" borderId="20" xfId="0" applyNumberFormat="1" applyFont="1" applyBorder="1" applyAlignment="1">
      <alignment vertical="top"/>
    </xf>
    <xf numFmtId="0" fontId="0" fillId="0" borderId="21" xfId="0" applyBorder="1" applyAlignment="1">
      <alignment/>
    </xf>
    <xf numFmtId="0" fontId="0" fillId="0" borderId="22" xfId="0" applyBorder="1" applyAlignment="1">
      <alignment/>
    </xf>
    <xf numFmtId="3" fontId="2" fillId="0" borderId="23" xfId="0" applyNumberFormat="1" applyFont="1" applyBorder="1" applyAlignment="1">
      <alignment/>
    </xf>
    <xf numFmtId="3" fontId="2" fillId="0" borderId="24" xfId="0" applyNumberFormat="1" applyFont="1" applyBorder="1" applyAlignment="1">
      <alignment horizontal="center"/>
    </xf>
    <xf numFmtId="3" fontId="2" fillId="0" borderId="23" xfId="0" applyNumberFormat="1" applyFont="1" applyBorder="1" applyAlignment="1">
      <alignment horizontal="center"/>
    </xf>
    <xf numFmtId="0" fontId="2" fillId="0" borderId="25" xfId="0" applyFont="1" applyBorder="1" applyAlignment="1">
      <alignment/>
    </xf>
    <xf numFmtId="3" fontId="2" fillId="0" borderId="25" xfId="0" applyNumberFormat="1" applyFont="1" applyBorder="1" applyAlignment="1">
      <alignment horizontal="center"/>
    </xf>
    <xf numFmtId="0" fontId="4" fillId="0" borderId="24" xfId="0" applyFont="1" applyBorder="1" applyAlignment="1">
      <alignment horizontal="center"/>
    </xf>
    <xf numFmtId="0" fontId="14" fillId="0" borderId="24" xfId="0" applyFont="1" applyBorder="1" applyAlignment="1">
      <alignment/>
    </xf>
    <xf numFmtId="3" fontId="0" fillId="0" borderId="0" xfId="0" applyNumberFormat="1" applyAlignment="1">
      <alignment/>
    </xf>
    <xf numFmtId="3" fontId="2" fillId="0" borderId="14" xfId="0" applyNumberFormat="1" applyFont="1" applyBorder="1" applyAlignment="1">
      <alignment horizontal="center"/>
    </xf>
    <xf numFmtId="3" fontId="2" fillId="0" borderId="21" xfId="0" applyNumberFormat="1" applyFont="1" applyBorder="1" applyAlignment="1">
      <alignment horizontal="center"/>
    </xf>
    <xf numFmtId="0" fontId="4" fillId="0" borderId="24" xfId="0" applyFont="1" applyBorder="1" applyAlignment="1">
      <alignment/>
    </xf>
    <xf numFmtId="0" fontId="2" fillId="0" borderId="23" xfId="0" applyFont="1" applyBorder="1" applyAlignment="1">
      <alignment/>
    </xf>
    <xf numFmtId="3" fontId="14" fillId="0" borderId="23" xfId="0" applyNumberFormat="1" applyFont="1" applyBorder="1" applyAlignment="1">
      <alignment horizontal="center"/>
    </xf>
    <xf numFmtId="3" fontId="14" fillId="0" borderId="24" xfId="0" applyNumberFormat="1" applyFont="1" applyBorder="1" applyAlignment="1">
      <alignment horizontal="center"/>
    </xf>
    <xf numFmtId="0" fontId="2" fillId="0" borderId="24" xfId="0" applyFont="1" applyBorder="1" applyAlignment="1">
      <alignment/>
    </xf>
    <xf numFmtId="3" fontId="14" fillId="0" borderId="25" xfId="0" applyNumberFormat="1" applyFont="1" applyBorder="1" applyAlignment="1">
      <alignment horizontal="center"/>
    </xf>
    <xf numFmtId="0" fontId="3" fillId="0" borderId="0" xfId="0" applyFont="1" applyAlignment="1">
      <alignment horizontal="justify" vertical="top"/>
    </xf>
    <xf numFmtId="3" fontId="4" fillId="0" borderId="24" xfId="0" applyNumberFormat="1" applyFont="1" applyBorder="1" applyAlignment="1">
      <alignment/>
    </xf>
    <xf numFmtId="3" fontId="4" fillId="0" borderId="23" xfId="0" applyNumberFormat="1" applyFont="1" applyBorder="1" applyAlignment="1">
      <alignment/>
    </xf>
    <xf numFmtId="3" fontId="4" fillId="0" borderId="24" xfId="0" applyNumberFormat="1" applyFont="1" applyBorder="1" applyAlignment="1">
      <alignment horizontal="center"/>
    </xf>
    <xf numFmtId="3" fontId="4" fillId="0" borderId="23" xfId="0" applyNumberFormat="1" applyFont="1" applyBorder="1" applyAlignment="1">
      <alignment horizontal="center"/>
    </xf>
    <xf numFmtId="3" fontId="9" fillId="0" borderId="25" xfId="0" applyNumberFormat="1" applyFont="1" applyBorder="1" applyAlignment="1">
      <alignment horizontal="center"/>
    </xf>
    <xf numFmtId="0" fontId="9" fillId="0" borderId="25" xfId="0" applyFont="1" applyBorder="1" applyAlignment="1">
      <alignment/>
    </xf>
    <xf numFmtId="3" fontId="9" fillId="0" borderId="25" xfId="0" applyNumberFormat="1" applyFont="1" applyBorder="1" applyAlignment="1">
      <alignment/>
    </xf>
    <xf numFmtId="184" fontId="18" fillId="6" borderId="1" xfId="0" applyNumberFormat="1" applyFont="1" applyFill="1" applyBorder="1" applyAlignment="1">
      <alignment horizontal="center" vertical="top"/>
    </xf>
    <xf numFmtId="0" fontId="18" fillId="6" borderId="1" xfId="0" applyFont="1" applyFill="1" applyBorder="1" applyAlignment="1">
      <alignment horizontal="center" vertical="top"/>
    </xf>
    <xf numFmtId="0" fontId="18" fillId="4" borderId="1" xfId="0" applyFont="1" applyFill="1" applyBorder="1" applyAlignment="1">
      <alignment horizontal="center" vertical="top"/>
    </xf>
    <xf numFmtId="0" fontId="18" fillId="7" borderId="1" xfId="0" applyFont="1" applyFill="1" applyBorder="1" applyAlignment="1">
      <alignment horizontal="center" vertical="top"/>
    </xf>
    <xf numFmtId="185" fontId="18" fillId="4" borderId="1" xfId="0" applyNumberFormat="1" applyFont="1" applyFill="1" applyBorder="1" applyAlignment="1">
      <alignment horizontal="center" vertical="top"/>
    </xf>
    <xf numFmtId="0" fontId="18" fillId="5" borderId="1" xfId="0" applyFont="1" applyFill="1" applyBorder="1" applyAlignment="1">
      <alignment horizontal="center" vertical="top"/>
    </xf>
    <xf numFmtId="0" fontId="11" fillId="0" borderId="0" xfId="0" applyFont="1" applyAlignment="1">
      <alignment vertical="top"/>
    </xf>
    <xf numFmtId="0" fontId="18" fillId="7" borderId="1" xfId="0" applyFont="1" applyFill="1" applyBorder="1" applyAlignment="1">
      <alignment horizontal="justify" vertical="top"/>
    </xf>
    <xf numFmtId="0" fontId="7" fillId="0" borderId="26" xfId="0" applyFont="1" applyBorder="1" applyAlignment="1">
      <alignment horizontal="justify" vertical="top"/>
    </xf>
    <xf numFmtId="0" fontId="7" fillId="0" borderId="27" xfId="0" applyFont="1" applyBorder="1" applyAlignment="1">
      <alignment horizontal="justify" vertical="top"/>
    </xf>
    <xf numFmtId="0" fontId="7" fillId="0" borderId="28" xfId="0" applyFont="1" applyBorder="1" applyAlignment="1">
      <alignment horizontal="justify" vertical="top"/>
    </xf>
    <xf numFmtId="0" fontId="0" fillId="8" borderId="29" xfId="0" applyFill="1" applyBorder="1" applyAlignment="1">
      <alignment vertical="top"/>
    </xf>
    <xf numFmtId="0" fontId="0" fillId="0" borderId="29" xfId="0" applyBorder="1" applyAlignment="1">
      <alignment vertical="top"/>
    </xf>
    <xf numFmtId="191" fontId="3" fillId="0" borderId="6" xfId="19" applyNumberFormat="1" applyFont="1" applyBorder="1" applyAlignment="1">
      <alignment vertical="top"/>
    </xf>
    <xf numFmtId="191" fontId="3" fillId="0" borderId="30" xfId="19" applyNumberFormat="1" applyFont="1" applyBorder="1" applyAlignment="1">
      <alignment vertical="top"/>
    </xf>
    <xf numFmtId="191" fontId="3" fillId="0" borderId="4" xfId="19" applyNumberFormat="1" applyFont="1" applyBorder="1" applyAlignment="1">
      <alignment vertical="top"/>
    </xf>
    <xf numFmtId="191" fontId="3" fillId="0" borderId="16" xfId="19" applyNumberFormat="1" applyFont="1" applyBorder="1" applyAlignment="1">
      <alignment vertical="top"/>
    </xf>
    <xf numFmtId="191" fontId="3" fillId="0" borderId="16" xfId="19" applyNumberFormat="1" applyFont="1" applyBorder="1" applyAlignment="1">
      <alignment/>
    </xf>
    <xf numFmtId="191" fontId="3" fillId="0" borderId="20" xfId="19" applyNumberFormat="1" applyFont="1" applyBorder="1" applyAlignment="1">
      <alignment vertical="top"/>
    </xf>
    <xf numFmtId="191" fontId="3" fillId="0" borderId="20" xfId="19" applyNumberFormat="1" applyFont="1" applyBorder="1" applyAlignment="1">
      <alignment vertical="top" wrapText="1"/>
    </xf>
    <xf numFmtId="191" fontId="3" fillId="0" borderId="31" xfId="19" applyNumberFormat="1" applyFont="1" applyBorder="1" applyAlignment="1">
      <alignment vertical="top"/>
    </xf>
    <xf numFmtId="191" fontId="6" fillId="0" borderId="0" xfId="19" applyNumberFormat="1" applyFont="1" applyAlignment="1">
      <alignment vertical="top"/>
    </xf>
    <xf numFmtId="0" fontId="18" fillId="5" borderId="2" xfId="0" applyFont="1" applyFill="1" applyBorder="1" applyAlignment="1">
      <alignment horizontal="justify" vertical="top"/>
    </xf>
    <xf numFmtId="0" fontId="3" fillId="0" borderId="32" xfId="0" applyFont="1" applyBorder="1" applyAlignment="1">
      <alignment horizontal="justify" vertical="top"/>
    </xf>
    <xf numFmtId="0" fontId="7" fillId="0" borderId="33" xfId="0" applyFont="1" applyBorder="1" applyAlignment="1">
      <alignment horizontal="justify" vertical="top"/>
    </xf>
    <xf numFmtId="0" fontId="2" fillId="0" borderId="3" xfId="0" applyFont="1" applyBorder="1" applyAlignment="1">
      <alignment horizontal="center" vertical="top"/>
    </xf>
    <xf numFmtId="3" fontId="0" fillId="0" borderId="0" xfId="0" applyNumberFormat="1" applyAlignment="1">
      <alignment vertical="top"/>
    </xf>
    <xf numFmtId="0" fontId="0" fillId="8" borderId="0" xfId="0" applyFill="1" applyBorder="1" applyAlignment="1">
      <alignment vertical="top"/>
    </xf>
    <xf numFmtId="186" fontId="3" fillId="0" borderId="34" xfId="0" applyNumberFormat="1" applyFont="1" applyBorder="1" applyAlignment="1">
      <alignment vertical="top"/>
    </xf>
    <xf numFmtId="0" fontId="2" fillId="5" borderId="3" xfId="0" applyFont="1" applyFill="1" applyBorder="1" applyAlignment="1">
      <alignment horizontal="center" vertical="top"/>
    </xf>
    <xf numFmtId="0" fontId="6" fillId="0" borderId="16" xfId="0" applyFont="1" applyBorder="1" applyAlignment="1">
      <alignment horizontal="justify" vertical="top"/>
    </xf>
    <xf numFmtId="186" fontId="3" fillId="0" borderId="35" xfId="0" applyNumberFormat="1" applyFont="1" applyBorder="1" applyAlignment="1">
      <alignment vertical="top"/>
    </xf>
    <xf numFmtId="186" fontId="3" fillId="0" borderId="11" xfId="0" applyNumberFormat="1" applyFont="1" applyBorder="1" applyAlignment="1">
      <alignment vertical="top"/>
    </xf>
    <xf numFmtId="186" fontId="3" fillId="0" borderId="11" xfId="0" applyNumberFormat="1" applyFont="1" applyBorder="1" applyAlignment="1">
      <alignment vertical="top" wrapText="1"/>
    </xf>
    <xf numFmtId="0" fontId="0" fillId="0" borderId="24" xfId="0" applyBorder="1" applyAlignment="1">
      <alignment/>
    </xf>
    <xf numFmtId="0" fontId="0" fillId="0" borderId="23" xfId="0" applyBorder="1" applyAlignment="1">
      <alignment/>
    </xf>
    <xf numFmtId="0" fontId="0" fillId="0" borderId="23" xfId="0" applyNumberFormat="1" applyBorder="1" applyAlignment="1">
      <alignment/>
    </xf>
    <xf numFmtId="0" fontId="0" fillId="0" borderId="36" xfId="0" applyBorder="1" applyAlignment="1">
      <alignment/>
    </xf>
    <xf numFmtId="0" fontId="0" fillId="0" borderId="37" xfId="0" applyBorder="1" applyAlignment="1">
      <alignment/>
    </xf>
    <xf numFmtId="0" fontId="0" fillId="0" borderId="38" xfId="0" applyNumberFormat="1"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24" xfId="0" applyNumberFormat="1" applyBorder="1" applyAlignment="1">
      <alignment/>
    </xf>
    <xf numFmtId="3" fontId="3" fillId="0" borderId="6" xfId="0" applyNumberFormat="1" applyFont="1" applyBorder="1" applyAlignment="1">
      <alignment vertical="top"/>
    </xf>
    <xf numFmtId="186" fontId="3" fillId="0" borderId="6" xfId="0" applyNumberFormat="1" applyFont="1" applyBorder="1" applyAlignment="1">
      <alignment/>
    </xf>
    <xf numFmtId="188" fontId="3" fillId="0" borderId="6" xfId="0" applyNumberFormat="1" applyFont="1" applyBorder="1" applyAlignment="1">
      <alignment/>
    </xf>
    <xf numFmtId="0" fontId="0" fillId="0" borderId="14" xfId="0" applyBorder="1" applyAlignment="1">
      <alignment/>
    </xf>
    <xf numFmtId="0" fontId="11" fillId="0" borderId="14" xfId="0" applyFont="1" applyBorder="1" applyAlignment="1">
      <alignment/>
    </xf>
    <xf numFmtId="0" fontId="18" fillId="9" borderId="42" xfId="0" applyFont="1" applyFill="1" applyBorder="1" applyAlignment="1">
      <alignment horizontal="center" vertical="top"/>
    </xf>
    <xf numFmtId="0" fontId="11" fillId="9" borderId="43" xfId="0" applyFont="1" applyFill="1" applyBorder="1" applyAlignment="1">
      <alignment vertical="top"/>
    </xf>
    <xf numFmtId="184" fontId="9" fillId="0" borderId="44" xfId="0" applyNumberFormat="1" applyFont="1" applyBorder="1" applyAlignment="1">
      <alignment vertical="top"/>
    </xf>
    <xf numFmtId="0" fontId="0" fillId="0" borderId="44" xfId="0" applyBorder="1" applyAlignment="1">
      <alignment vertical="top"/>
    </xf>
    <xf numFmtId="0" fontId="4" fillId="10" borderId="45" xfId="0" applyFont="1" applyFill="1" applyBorder="1" applyAlignment="1">
      <alignment horizontal="center" vertical="top"/>
    </xf>
    <xf numFmtId="0" fontId="0" fillId="0" borderId="46" xfId="0" applyBorder="1" applyAlignment="1">
      <alignment vertical="top"/>
    </xf>
    <xf numFmtId="0" fontId="0" fillId="0" borderId="42" xfId="0" applyBorder="1" applyAlignment="1">
      <alignment vertical="top"/>
    </xf>
    <xf numFmtId="0" fontId="4" fillId="11" borderId="45" xfId="0" applyFont="1" applyFill="1" applyBorder="1" applyAlignment="1">
      <alignment horizontal="center" vertical="top"/>
    </xf>
    <xf numFmtId="0" fontId="4" fillId="11" borderId="46" xfId="0" applyFont="1" applyFill="1" applyBorder="1" applyAlignment="1">
      <alignment horizontal="center" vertical="top"/>
    </xf>
    <xf numFmtId="0" fontId="0" fillId="11" borderId="46" xfId="0" applyFill="1" applyBorder="1" applyAlignment="1">
      <alignment horizontal="center" vertical="top"/>
    </xf>
    <xf numFmtId="0" fontId="0" fillId="11" borderId="42" xfId="0" applyFill="1" applyBorder="1" applyAlignment="1">
      <alignment horizontal="center" vertical="top"/>
    </xf>
    <xf numFmtId="185" fontId="2" fillId="8" borderId="47" xfId="0" applyNumberFormat="1" applyFont="1" applyFill="1" applyBorder="1" applyAlignment="1">
      <alignment horizontal="center" vertical="top"/>
    </xf>
    <xf numFmtId="0" fontId="0" fillId="8" borderId="48" xfId="0" applyFill="1" applyBorder="1" applyAlignment="1">
      <alignment vertical="top"/>
    </xf>
    <xf numFmtId="0" fontId="6" fillId="0" borderId="3" xfId="0" applyFont="1" applyBorder="1" applyAlignment="1">
      <alignment horizontal="center"/>
    </xf>
    <xf numFmtId="0" fontId="6" fillId="3" borderId="5" xfId="0" applyFont="1" applyFill="1" applyBorder="1" applyAlignment="1">
      <alignment horizontal="center"/>
    </xf>
    <xf numFmtId="0" fontId="6" fillId="3" borderId="49" xfId="0" applyFont="1" applyFill="1" applyBorder="1" applyAlignment="1">
      <alignment horizontal="center"/>
    </xf>
    <xf numFmtId="0" fontId="6" fillId="3" borderId="3" xfId="0" applyFont="1" applyFill="1" applyBorder="1" applyAlignment="1">
      <alignment horizontal="center"/>
    </xf>
    <xf numFmtId="0" fontId="0" fillId="0" borderId="49" xfId="0"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9">
    <dxf>
      <font>
        <b/>
      </font>
      <border/>
    </dxf>
    <dxf>
      <font>
        <sz val="8"/>
      </font>
      <border/>
    </dxf>
    <dxf>
      <alignment horizontal="center" readingOrder="0"/>
      <border/>
    </dxf>
    <dxf>
      <numFmt numFmtId="3" formatCode="#,##0"/>
      <border/>
    </dxf>
    <dxf>
      <font>
        <sz val="12"/>
      </font>
      <border/>
    </dxf>
    <dxf>
      <font>
        <sz val="14"/>
      </font>
      <border/>
    </dxf>
    <dxf>
      <font>
        <sz val="11"/>
      </font>
      <border/>
    </dxf>
    <dxf>
      <font>
        <sz val="9"/>
      </font>
      <border/>
    </dxf>
    <dxf>
      <font>
        <sz val="1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3.xml" /><Relationship Id="rId10" Type="http://schemas.openxmlformats.org/officeDocument/2006/relationships/pivotCacheDefinition" Target="pivotCache/pivotCacheDefinition1.xml" /><Relationship Id="rId11" Type="http://schemas.openxmlformats.org/officeDocument/2006/relationships/pivotCacheDefinition" Target="pivotCache/pivotCacheDefinition4.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PERSONAS AFECTADAS POR TIPO DE EVENTO</a:t>
            </a:r>
          </a:p>
        </c:rich>
      </c:tx>
      <c:layout/>
      <c:spPr>
        <a:noFill/>
        <a:ln>
          <a:noFill/>
        </a:ln>
      </c:spPr>
    </c:title>
    <c:view3D>
      <c:rotX val="15"/>
      <c:hPercent val="100"/>
      <c:rotY val="0"/>
      <c:depthPercent val="100"/>
      <c:rAngAx val="1"/>
    </c:view3D>
    <c:plotArea>
      <c:layout>
        <c:manualLayout>
          <c:xMode val="edge"/>
          <c:yMode val="edge"/>
          <c:x val="0.277"/>
          <c:y val="0.50075"/>
          <c:w val="0.4055"/>
          <c:h val="0.322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FNC97'!$B$3:$N$3</c:f>
            </c:numRef>
          </c:val>
        </c:ser>
        <c:ser>
          <c:idx val="1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FNC97'!$B$4:$N$4</c:f>
            </c:numRef>
          </c:val>
        </c:ser>
        <c:ser>
          <c:idx val="1"/>
          <c:order val="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FNC97'!$B$5:$N$5</c:f>
            </c:numRef>
          </c:val>
        </c:ser>
        <c:ser>
          <c:idx val="2"/>
          <c:order val="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FNC97'!$B$6:$N$6</c:f>
            </c:numRef>
          </c:val>
        </c:ser>
        <c:ser>
          <c:idx val="12"/>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FNC97'!$B$7:$N$7</c:f>
            </c:numRef>
          </c:val>
        </c:ser>
        <c:ser>
          <c:idx val="3"/>
          <c:order val="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FNC97'!$B$8:$N$8</c:f>
            </c:numRef>
          </c:val>
        </c:ser>
        <c:ser>
          <c:idx val="13"/>
          <c:order val="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FNC97'!$B$9:$N$9</c:f>
            </c:numRef>
          </c:val>
        </c:ser>
        <c:ser>
          <c:idx val="4"/>
          <c:order val="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FNC97'!$B$10:$N$10</c:f>
            </c:numRef>
          </c:val>
        </c:ser>
        <c:ser>
          <c:idx val="5"/>
          <c:order val="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FNC97'!$B$11:$N$11</c:f>
            </c:numRef>
          </c:val>
        </c:ser>
        <c:ser>
          <c:idx val="6"/>
          <c:order val="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FNC97'!$B$12:$N$12</c:f>
            </c:numRef>
          </c:val>
        </c:ser>
        <c:ser>
          <c:idx val="7"/>
          <c:order val="1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FNC97'!$B$13:$N$13</c:f>
            </c:numRef>
          </c:val>
        </c:ser>
        <c:ser>
          <c:idx val="8"/>
          <c:order val="1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FNC97'!$B$14:$N$14</c:f>
            </c:numRef>
          </c:val>
        </c:ser>
        <c:ser>
          <c:idx val="9"/>
          <c:order val="1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FNC97'!$B$15:$N$15</c:f>
            </c:numRef>
          </c:val>
        </c:ser>
        <c:ser>
          <c:idx val="14"/>
          <c:order val="1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FNC97'!$B$16:$N$16</c:f>
            </c:numRef>
          </c:val>
        </c:ser>
        <c:ser>
          <c:idx val="15"/>
          <c:order val="1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FNC97'!$B$17:$N$17</c:f>
            </c:numRef>
          </c:val>
        </c:ser>
        <c:ser>
          <c:idx val="16"/>
          <c:order val="1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FNC97'!$B$18:$N$18</c:f>
            </c:numRef>
          </c:val>
        </c:ser>
        <c:ser>
          <c:idx val="17"/>
          <c:order val="1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FNC97'!$B$19:$N$19</c:f>
            </c:numRef>
          </c:val>
        </c:ser>
        <c:ser>
          <c:idx val="18"/>
          <c:order val="1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FNC97'!$B$20:$N$20</c:f>
            </c:numRef>
          </c:val>
        </c:ser>
        <c:ser>
          <c:idx val="19"/>
          <c:order val="1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FNC97'!$B$21:$N$21</c:f>
            </c:numRef>
          </c:val>
        </c:ser>
        <c:ser>
          <c:idx val="20"/>
          <c:order val="1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FNC97'!$B$22:$N$22</c:f>
            </c:numRef>
          </c:val>
        </c:ser>
        <c:ser>
          <c:idx val="21"/>
          <c:order val="2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FNC97'!$B$23:$N$23</c:f>
            </c:numRef>
          </c:val>
        </c:ser>
        <c:ser>
          <c:idx val="22"/>
          <c:order val="2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FNC97'!$B$24:$N$24</c:f>
            </c:numRef>
          </c:val>
        </c:ser>
        <c:ser>
          <c:idx val="23"/>
          <c:order val="22"/>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FNC97'!$B$25:$N$25</c:f>
            </c:numRef>
          </c:val>
        </c:ser>
        <c:ser>
          <c:idx val="24"/>
          <c:order val="23"/>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FNC97'!$B$26:$N$26</c:f>
            </c:numRef>
          </c:val>
        </c:ser>
        <c:ser>
          <c:idx val="25"/>
          <c:order val="2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FNC97'!$B$27:$N$27</c:f>
            </c:numRef>
          </c:val>
        </c:ser>
        <c:ser>
          <c:idx val="26"/>
          <c:order val="25"/>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FNC97'!$B$28:$N$28</c:f>
            </c:numRef>
          </c:val>
        </c:ser>
        <c:ser>
          <c:idx val="27"/>
          <c:order val="26"/>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FNC97'!$B$29:$N$29</c:f>
            </c:numRef>
          </c:val>
        </c:ser>
        <c:ser>
          <c:idx val="28"/>
          <c:order val="27"/>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FNC97'!$B$30:$N$30</c:f>
            </c:numRef>
          </c:val>
        </c:ser>
        <c:ser>
          <c:idx val="29"/>
          <c:order val="28"/>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FNC97'!$B$31:$N$31</c:f>
            </c:numRef>
          </c:val>
        </c:ser>
        <c:ser>
          <c:idx val="30"/>
          <c:order val="29"/>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FNC97'!$B$32:$N$32</c:f>
            </c:numRef>
          </c:val>
        </c:ser>
        <c:ser>
          <c:idx val="31"/>
          <c:order val="3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FNC97'!$B$33:$N$33</c:f>
            </c:numRef>
          </c:val>
        </c:ser>
        <c:ser>
          <c:idx val="32"/>
          <c:order val="3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'JUNTA FNC97'!$B$2:$N$2</c:f>
              <c:strCache/>
            </c:strRef>
          </c:cat>
          <c:val>
            <c:numRef>
              <c:f>'JUNTA FNC97'!$B$34:$N$34</c:f>
            </c:numRef>
          </c:val>
        </c:ser>
        <c:ser>
          <c:idx val="10"/>
          <c:order val="32"/>
          <c:explosion val="0"/>
          <c:extLst>
            <c:ext xmlns:c14="http://schemas.microsoft.com/office/drawing/2007/8/2/chart" uri="{6F2FDCE9-48DA-4B69-8628-5D25D57E5C99}">
              <c14:invertSolidFillFmt>
                <c14:spPr>
                  <a:solidFill>
                    <a:srgbClr val="000000"/>
                  </a:solidFill>
                </c14:spPr>
              </c14:invertSolidFillFmt>
            </c:ext>
          </c:extLst>
          <c:dPt>
            <c:idx val="4"/>
          </c:dP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0"/>
              <c:showSerName val="0"/>
              <c:showPercent val="1"/>
            </c:dLbl>
            <c:dLbl>
              <c:idx val="4"/>
              <c:txPr>
                <a:bodyPr vert="horz" rot="0" anchor="ctr"/>
                <a:lstStyle/>
                <a:p>
                  <a:pPr algn="ctr">
                    <a:defRPr lang="en-US" cap="none" sz="1200" b="1"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0"/>
              <c:showSerName val="0"/>
              <c:showPercent val="1"/>
            </c:dLbl>
            <c:numFmt formatCode="0%" sourceLinked="0"/>
            <c:spPr>
              <a:noFill/>
              <a:ln>
                <a:noFill/>
              </a:ln>
            </c:spPr>
            <c:txPr>
              <a:bodyPr vert="horz" rot="0" anchor="ctr"/>
              <a:lstStyle/>
              <a:p>
                <a:pPr algn="ctr">
                  <a:defRPr lang="en-US" cap="none" sz="1200" b="1" i="0" u="none" baseline="0">
                    <a:latin typeface="Arial"/>
                    <a:ea typeface="Arial"/>
                    <a:cs typeface="Arial"/>
                  </a:defRPr>
                </a:pPr>
              </a:p>
            </c:txPr>
            <c:showLegendKey val="0"/>
            <c:showVal val="0"/>
            <c:showBubbleSize val="0"/>
            <c:showCatName val="0"/>
            <c:showSerName val="0"/>
            <c:showLeaderLines val="1"/>
            <c:showPercent val="1"/>
          </c:dLbls>
          <c:cat>
            <c:strRef>
              <c:f>'JUNTA FNC97'!$B$2:$N$2</c:f>
              <c:strCache/>
            </c:strRef>
          </c:cat>
          <c:val>
            <c:numRef>
              <c:f>'JUNTA FNC97'!$B$35:$N$35</c:f>
              <c:numCache/>
            </c:numRef>
          </c:val>
        </c:ser>
      </c:pie3DChart>
      <c:spPr>
        <a:noFill/>
        <a:ln>
          <a:noFill/>
        </a:ln>
      </c:spPr>
    </c:plotArea>
    <c:legend>
      <c:legendPos val="b"/>
      <c:layout>
        <c:manualLayout>
          <c:xMode val="edge"/>
          <c:yMode val="edge"/>
          <c:x val="0"/>
          <c:y val="0.84775"/>
          <c:w val="0.994"/>
          <c:h val="0.15"/>
        </c:manualLayout>
      </c:layout>
      <c:overlay val="0"/>
      <c:spPr>
        <a:ln w="3175">
          <a:noFill/>
        </a:ln>
      </c:spPr>
      <c:txPr>
        <a:bodyPr vert="horz" rot="0"/>
        <a:lstStyle/>
        <a:p>
          <a:pPr>
            <a:defRPr lang="en-US" cap="none" sz="1000" b="1" i="0" u="none" baseline="0">
              <a:latin typeface="Arial"/>
              <a:ea typeface="Arial"/>
              <a:cs typeface="Arial"/>
            </a:defRPr>
          </a:pPr>
        </a:p>
      </c:txPr>
    </c:legend>
    <c:sideWall>
      <c:thickness val="0"/>
    </c:sideWall>
    <c:backWall>
      <c:thickness val="0"/>
    </c:backWall>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45</xdr:row>
      <xdr:rowOff>9525</xdr:rowOff>
    </xdr:from>
    <xdr:to>
      <xdr:col>9</xdr:col>
      <xdr:colOff>628650</xdr:colOff>
      <xdr:row>72</xdr:row>
      <xdr:rowOff>104775</xdr:rowOff>
    </xdr:to>
    <xdr:graphicFrame>
      <xdr:nvGraphicFramePr>
        <xdr:cNvPr id="1" name="Chart 1"/>
        <xdr:cNvGraphicFramePr/>
      </xdr:nvGraphicFramePr>
      <xdr:xfrm>
        <a:off x="1800225" y="2295525"/>
        <a:ext cx="4943475" cy="44672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Z446" sheet="REPORTE DE EMERGENCIAS"/>
  </cacheSource>
  <cacheFields count="26">
    <cacheField name="FECHA">
      <sharedItems containsSemiMixedTypes="0" containsNonDate="0" containsDate="1" containsString="0" containsMixedTypes="0"/>
    </cacheField>
    <cacheField name="DEPTO">
      <sharedItems containsMixedTypes="0" count="32">
        <s v="MAGDALENA"/>
        <s v="ANTIOQUIA"/>
        <s v="NARIÑO"/>
        <s v="NORTE DE SANTANDER"/>
        <s v="CORDOBA"/>
        <s v="SUCRE"/>
        <s v="SANTANDER"/>
        <s v="BOYACA"/>
        <s v="CHOCO"/>
        <s v="HUILA"/>
        <s v="CUNDINAMARCA"/>
        <s v="QUINDIO"/>
        <s v="LA GUAJIRA"/>
        <s v="VALLE"/>
        <s v="CESAR"/>
        <s v="SAN ANDRES"/>
        <s v="CASANARE"/>
        <s v="GUAVIARE"/>
        <s v="PUTUMAYO"/>
        <s v="TOLIMA"/>
        <s v="BOLIVAR"/>
        <s v="CAUCA"/>
        <s v="CAQUETA"/>
        <s v="RISARALDA"/>
        <s v="ATLANTICO"/>
        <s v="META"/>
        <s v="CALDAS"/>
        <s v="AMAZONAS"/>
        <s v="ARAUCA"/>
        <s v="VICHADA"/>
        <s v="VAUPES"/>
        <s v="GUAINIA"/>
      </sharedItems>
    </cacheField>
    <cacheField name="MUNICIPIO">
      <sharedItems containsMixedTypes="0"/>
    </cacheField>
    <cacheField name="EVENTO">
      <sharedItems containsMixedTypes="0" count="13">
        <s v="SEQUIA"/>
        <s v="INC.FORESTAL"/>
        <s v="INUNDACION"/>
        <s v="DESLIZAMIENTO"/>
        <s v="INC.ESTRUCTURAL"/>
        <s v="MAREJADAS"/>
        <s v="EPIDEMIA"/>
        <s v="VENDAVAL"/>
        <s v="CONTAMINACION"/>
        <s v="AVALANCHA"/>
        <s v="EROSION"/>
        <s v="EXPLOSION"/>
        <s v="VARIOS"/>
      </sharedItems>
    </cacheField>
    <cacheField name="MUERTOS">
      <sharedItems containsString="0" containsBlank="1" containsMixedTypes="0" containsNumber="1" containsInteger="1" count="6">
        <m/>
        <n v="3"/>
        <n v="2"/>
        <n v="1"/>
        <n v="5"/>
        <n v="67"/>
      </sharedItems>
    </cacheField>
    <cacheField name="HERIDOS">
      <sharedItems containsString="0" containsBlank="1" containsMixedTypes="0" containsNumber="1" containsInteger="1" count="10">
        <m/>
        <n v="7"/>
        <n v="4"/>
        <n v="1"/>
        <n v="3"/>
        <n v="2"/>
        <n v="8"/>
        <n v="9"/>
        <n v="5"/>
        <n v="64"/>
      </sharedItems>
    </cacheField>
    <cacheField name="DESAPA.">
      <sharedItems containsString="0" containsBlank="1" containsMixedTypes="0" containsNumber="1" containsInteger="1" count="3">
        <m/>
        <n v="1"/>
        <n v="9"/>
      </sharedItems>
    </cacheField>
    <cacheField name="PERSONAS">
      <sharedItems containsMixedTypes="1" containsNumber="1" containsInteger="1"/>
    </cacheField>
    <cacheField name="FAMILIAS">
      <sharedItems containsMixedTypes="1" containsNumber="1" containsInteger="1"/>
    </cacheField>
    <cacheField name="VIV.DESTRU.">
      <sharedItems containsMixedTypes="1" containsNumber="1" containsInteger="1"/>
    </cacheField>
    <cacheField name="VIV.AVER.">
      <sharedItems containsMixedTypes="1" containsNumber="1" containsInteger="1"/>
    </cacheField>
    <cacheField name="VIAS">
      <sharedItems containsString="0" containsBlank="1" containsMixedTypes="0" containsNumber="1" containsInteger="1" count="11">
        <m/>
        <n v="1"/>
        <n v="11"/>
        <n v="5"/>
        <n v="9"/>
        <n v="6"/>
        <n v="2"/>
        <n v="4"/>
        <n v="25"/>
        <n v="7"/>
        <n v="3"/>
      </sharedItems>
    </cacheField>
    <cacheField name="PTES.VEHIC.">
      <sharedItems containsString="0" containsBlank="1" containsMixedTypes="0" containsNumber="1" containsInteger="1" count="8">
        <m/>
        <n v="1"/>
        <n v="3"/>
        <n v="8"/>
        <n v="2"/>
        <n v="7"/>
        <n v="6"/>
        <n v="4"/>
      </sharedItems>
    </cacheField>
    <cacheField name="PTES.PEAT.">
      <sharedItems containsString="0" containsBlank="1" containsMixedTypes="0" containsNumber="1" containsInteger="1" count="9">
        <m/>
        <n v="2"/>
        <n v="7"/>
        <n v="1"/>
        <n v="5"/>
        <n v="3"/>
        <n v="9"/>
        <n v="10"/>
        <n v="8"/>
      </sharedItems>
    </cacheField>
    <cacheField name="ACUED.">
      <sharedItems containsString="0" containsBlank="1" containsMixedTypes="0" containsNumber="1" containsInteger="1" count="7">
        <n v="1"/>
        <m/>
        <n v="12"/>
        <n v="5"/>
        <n v="3"/>
        <n v="2"/>
        <n v="7"/>
      </sharedItems>
    </cacheField>
    <cacheField name="ALCANT.">
      <sharedItems containsString="0" containsBlank="1" containsMixedTypes="0" containsNumber="1" containsInteger="1" count="2">
        <m/>
        <n v="1"/>
      </sharedItems>
    </cacheField>
    <cacheField name="C. SALUD">
      <sharedItems containsString="0" containsBlank="1" containsMixedTypes="0" containsNumber="1" containsInteger="1" count="2">
        <m/>
        <n v="1"/>
      </sharedItems>
    </cacheField>
    <cacheField name="C.EDUCAT.">
      <sharedItems containsString="0" containsBlank="1" containsMixedTypes="0" containsNumber="1" containsInteger="1" count="10">
        <m/>
        <n v="1"/>
        <n v="19"/>
        <n v="2"/>
        <n v="4"/>
        <n v="6"/>
        <n v="3"/>
        <n v="13"/>
        <n v="9"/>
        <n v="16"/>
      </sharedItems>
    </cacheField>
    <cacheField name="C.COMUNIT.">
      <sharedItems containsString="0" containsBlank="1" containsMixedTypes="0" containsNumber="1" containsInteger="1" count="5">
        <m/>
        <n v="1"/>
        <n v="4"/>
        <n v="2"/>
        <n v="19"/>
      </sharedItems>
    </cacheField>
    <cacheField name="OTROS">
      <sharedItems containsMixedTypes="0"/>
    </cacheField>
    <cacheField name="MENAJES">
      <sharedItems containsMixedTypes="1" containsNumber="1"/>
    </cacheField>
    <cacheField name="AP.ALIMENT.">
      <sharedItems containsMixedTypes="1" containsNumber="1"/>
    </cacheField>
    <cacheField name="TEJAS">
      <sharedItems containsMixedTypes="1" containsNumber="1"/>
    </cacheField>
    <cacheField name="SACOS">
      <sharedItems containsString="0" containsBlank="1" containsMixedTypes="0" containsNumber="1" containsInteger="1" count="10">
        <m/>
        <n v="484880"/>
        <n v="4408000"/>
        <n v="18205040"/>
        <n v="2644800"/>
        <n v="8110720"/>
        <n v="1322400"/>
        <n v="2204000"/>
        <n v="881600"/>
        <n v="440800"/>
      </sharedItems>
    </cacheField>
    <cacheField name="OTROS2">
      <sharedItems containsString="0" containsBlank="1" containsMixedTypes="0" containsNumber="1" containsInteger="1" count="4">
        <m/>
        <n v="19163509"/>
        <n v="5500000"/>
        <n v="5040000"/>
      </sharedItems>
    </cacheField>
    <cacheField name="ECONOM.">
      <sharedItems containsBlank="1" containsMixedTypes="1" containsNumber="1" containsInteger="1" count="12">
        <m/>
        <n v="5000000"/>
        <n v="4000000"/>
        <s v="                  "/>
        <n v="685000"/>
        <n v="500000"/>
        <n v="9000000"/>
        <n v="625000"/>
        <n v="6900000"/>
        <n v="1000000"/>
        <n v="15000000"/>
        <n v="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Z446" sheet="REPORTE DE EMERGENCIAS"/>
  </cacheSource>
  <cacheFields count="26">
    <cacheField name="FECHA">
      <sharedItems containsSemiMixedTypes="0" containsNonDate="0" containsDate="1" containsString="0" containsMixedTypes="0"/>
    </cacheField>
    <cacheField name="DEPTO">
      <sharedItems containsMixedTypes="0" count="32">
        <s v="MAGDALENA"/>
        <s v="ANTIOQUIA"/>
        <s v="NARIÑO"/>
        <s v="NORTE DE SANTANDER"/>
        <s v="CORDOBA"/>
        <s v="SUCRE"/>
        <s v="SANTANDER"/>
        <s v="BOYACA"/>
        <s v="CHOCO"/>
        <s v="HUILA"/>
        <s v="CUNDINAMARCA"/>
        <s v="QUINDIO"/>
        <s v="LA GUAJIRA"/>
        <s v="VALLE"/>
        <s v="CESAR"/>
        <s v="SAN ANDRES"/>
        <s v="CASANARE"/>
        <s v="GUAVIARE"/>
        <s v="PUTUMAYO"/>
        <s v="TOLIMA"/>
        <s v="BOLIVAR"/>
        <s v="CAUCA"/>
        <s v="CAQUETA"/>
        <s v="RISARALDA"/>
        <s v="ATLANTICO"/>
        <s v="META"/>
        <s v="CALDAS"/>
        <s v="AMAZONAS"/>
        <s v="ARAUCA"/>
        <s v="VICHADA"/>
        <s v="VAUPES"/>
        <s v="GUAINIA"/>
      </sharedItems>
    </cacheField>
    <cacheField name="MUNICIPIO">
      <sharedItems containsMixedTypes="0"/>
    </cacheField>
    <cacheField name="EVENTO">
      <sharedItems containsMixedTypes="0" count="13">
        <s v="SEQUIA"/>
        <s v="INC.FORESTAL"/>
        <s v="INUNDACION"/>
        <s v="DESLIZAMIENTO"/>
        <s v="INC.ESTRUCTURAL"/>
        <s v="MAREJADAS"/>
        <s v="EPIDEMIA"/>
        <s v="VENDAVAL"/>
        <s v="CONTAMINACION"/>
        <s v="AVALANCHA"/>
        <s v="EROSION"/>
        <s v="EXPLOSION"/>
        <s v="VARIOS"/>
      </sharedItems>
    </cacheField>
    <cacheField name="MUERTOS">
      <sharedItems containsString="0" containsBlank="1" containsMixedTypes="0" containsNumber="1" containsInteger="1" count="6">
        <m/>
        <n v="3"/>
        <n v="2"/>
        <n v="1"/>
        <n v="5"/>
        <n v="67"/>
      </sharedItems>
    </cacheField>
    <cacheField name="HERIDOS">
      <sharedItems containsString="0" containsBlank="1" containsMixedTypes="0" containsNumber="1" containsInteger="1" count="10">
        <m/>
        <n v="7"/>
        <n v="4"/>
        <n v="1"/>
        <n v="3"/>
        <n v="2"/>
        <n v="8"/>
        <n v="9"/>
        <n v="5"/>
        <n v="64"/>
      </sharedItems>
    </cacheField>
    <cacheField name="DESAPA.">
      <sharedItems containsString="0" containsBlank="1" containsMixedTypes="0" containsNumber="1" containsInteger="1" count="3">
        <m/>
        <n v="1"/>
        <n v="9"/>
      </sharedItems>
    </cacheField>
    <cacheField name="PERSONAS">
      <sharedItems containsMixedTypes="1" containsNumber="1" containsInteger="1"/>
    </cacheField>
    <cacheField name="FAMILIAS">
      <sharedItems containsMixedTypes="1" containsNumber="1" containsInteger="1"/>
    </cacheField>
    <cacheField name="VIV.DESTRU.">
      <sharedItems containsMixedTypes="1" containsNumber="1" containsInteger="1"/>
    </cacheField>
    <cacheField name="VIV.AVER.">
      <sharedItems containsMixedTypes="1" containsNumber="1" containsInteger="1"/>
    </cacheField>
    <cacheField name="VIAS">
      <sharedItems containsString="0" containsBlank="1" containsMixedTypes="0" containsNumber="1" containsInteger="1" count="11">
        <m/>
        <n v="1"/>
        <n v="11"/>
        <n v="5"/>
        <n v="9"/>
        <n v="6"/>
        <n v="2"/>
        <n v="4"/>
        <n v="25"/>
        <n v="7"/>
        <n v="3"/>
      </sharedItems>
    </cacheField>
    <cacheField name="PTES.VEHIC.">
      <sharedItems containsString="0" containsBlank="1" containsMixedTypes="0" containsNumber="1" containsInteger="1" count="8">
        <m/>
        <n v="1"/>
        <n v="3"/>
        <n v="8"/>
        <n v="2"/>
        <n v="7"/>
        <n v="6"/>
        <n v="4"/>
      </sharedItems>
    </cacheField>
    <cacheField name="PTES.PEAT.">
      <sharedItems containsString="0" containsBlank="1" containsMixedTypes="0" containsNumber="1" containsInteger="1" count="9">
        <m/>
        <n v="2"/>
        <n v="7"/>
        <n v="1"/>
        <n v="5"/>
        <n v="3"/>
        <n v="9"/>
        <n v="10"/>
        <n v="8"/>
      </sharedItems>
    </cacheField>
    <cacheField name="ACUED.">
      <sharedItems containsString="0" containsBlank="1" containsMixedTypes="0" containsNumber="1" containsInteger="1" count="7">
        <n v="1"/>
        <m/>
        <n v="12"/>
        <n v="5"/>
        <n v="3"/>
        <n v="2"/>
        <n v="7"/>
      </sharedItems>
    </cacheField>
    <cacheField name="ALCANT.">
      <sharedItems containsString="0" containsBlank="1" containsMixedTypes="0" containsNumber="1" containsInteger="1" count="2">
        <m/>
        <n v="1"/>
      </sharedItems>
    </cacheField>
    <cacheField name="C. SALUD">
      <sharedItems containsString="0" containsBlank="1" containsMixedTypes="0" containsNumber="1" containsInteger="1" count="2">
        <m/>
        <n v="1"/>
      </sharedItems>
    </cacheField>
    <cacheField name="C.EDUCAT.">
      <sharedItems containsString="0" containsBlank="1" containsMixedTypes="0" containsNumber="1" containsInteger="1" count="10">
        <m/>
        <n v="1"/>
        <n v="19"/>
        <n v="2"/>
        <n v="4"/>
        <n v="6"/>
        <n v="3"/>
        <n v="13"/>
        <n v="9"/>
        <n v="16"/>
      </sharedItems>
    </cacheField>
    <cacheField name="C.COMUNIT.">
      <sharedItems containsString="0" containsBlank="1" containsMixedTypes="0" containsNumber="1" containsInteger="1" count="5">
        <m/>
        <n v="1"/>
        <n v="4"/>
        <n v="2"/>
        <n v="19"/>
      </sharedItems>
    </cacheField>
    <cacheField name="OTROS">
      <sharedItems containsMixedTypes="0"/>
    </cacheField>
    <cacheField name="MENAJES">
      <sharedItems containsMixedTypes="1" containsNumber="1"/>
    </cacheField>
    <cacheField name="AP.ALIMENT.">
      <sharedItems containsMixedTypes="1" containsNumber="1"/>
    </cacheField>
    <cacheField name="TEJAS">
      <sharedItems containsMixedTypes="1" containsNumber="1"/>
    </cacheField>
    <cacheField name="SACOS">
      <sharedItems containsString="0" containsBlank="1" containsMixedTypes="0" containsNumber="1" containsInteger="1" count="10">
        <m/>
        <n v="484880"/>
        <n v="4408000"/>
        <n v="18205040"/>
        <n v="2644800"/>
        <n v="8110720"/>
        <n v="1322400"/>
        <n v="2204000"/>
        <n v="881600"/>
        <n v="440800"/>
      </sharedItems>
    </cacheField>
    <cacheField name="OTROS2">
      <sharedItems containsString="0" containsBlank="1" containsMixedTypes="0" containsNumber="1" containsInteger="1" count="4">
        <m/>
        <n v="19163509"/>
        <n v="5500000"/>
        <n v="5040000"/>
      </sharedItems>
    </cacheField>
    <cacheField name="ECONOM.">
      <sharedItems containsBlank="1" containsMixedTypes="1" containsNumber="1" containsInteger="1" count="12">
        <m/>
        <n v="5000000"/>
        <n v="4000000"/>
        <s v="                  "/>
        <n v="685000"/>
        <n v="500000"/>
        <n v="9000000"/>
        <n v="625000"/>
        <n v="6900000"/>
        <n v="1000000"/>
        <n v="15000000"/>
        <n v="0"/>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2:Z544" sheet="REPORTE DE EMERGENCIAS"/>
  </cacheSource>
  <cacheFields count="26">
    <cacheField name="FECHA">
      <sharedItems containsSemiMixedTypes="0" containsNonDate="0" containsDate="1" containsString="0" containsMixedTypes="0"/>
    </cacheField>
    <cacheField name="DEPTO">
      <sharedItems containsMixedTypes="0" count="32">
        <s v="MAGDALENA"/>
        <s v="ANTIOQUIA"/>
        <s v="NARIÑO"/>
        <s v="NORTE DE SANTANDER"/>
        <s v="CORDOBA"/>
        <s v="SUCRE"/>
        <s v="SANTANDER"/>
        <s v="BOYACA"/>
        <s v="CHOCO"/>
        <s v="HUILA"/>
        <s v="CUNDINAMARCA"/>
        <s v="QUINDIO"/>
        <s v="LA GUAJIRA"/>
        <s v="VALLE"/>
        <s v="CESAR"/>
        <s v="SAN ANDRES"/>
        <s v="CASANARE"/>
        <s v="GUAVIARE"/>
        <s v="PUTUMAYO"/>
        <s v="TOLIMA"/>
        <s v="BOLIVAR"/>
        <s v="CAUCA"/>
        <s v="CAQUETA"/>
        <s v="RISARALDA"/>
        <s v="ATLANTICO"/>
        <s v="META"/>
        <s v="CALDAS"/>
        <s v="AMAZONAS"/>
        <s v="ARAUCA"/>
        <s v="VICHADA"/>
        <s v="VAUPES"/>
        <s v="GUAINIA"/>
      </sharedItems>
    </cacheField>
    <cacheField name="MUNICIPIO">
      <sharedItems containsMixedTypes="0"/>
    </cacheField>
    <cacheField name="EVENTO">
      <sharedItems containsMixedTypes="0" count="14">
        <s v="SEQUIA"/>
        <s v="INC.FORESTAL"/>
        <s v="INUNDACION"/>
        <s v="DESLIZAMIENTO"/>
        <s v="INC.ESTRUCTURAL"/>
        <s v="MAREJADAS"/>
        <s v="EPIDEMIA"/>
        <s v="VENDAVAL"/>
        <s v="CONTAMINACION"/>
        <s v="AVALANCHA"/>
        <s v="EROSION"/>
        <s v="EXPLOSION"/>
        <s v="VARIOS"/>
        <s v="ANTROPICO"/>
      </sharedItems>
    </cacheField>
    <cacheField name="MUERTOS">
      <sharedItems containsString="0" containsBlank="1" containsMixedTypes="0" containsNumber="1" containsInteger="1" count="6">
        <m/>
        <n v="3"/>
        <n v="2"/>
        <n v="1"/>
        <n v="5"/>
        <n v="71"/>
      </sharedItems>
    </cacheField>
    <cacheField name="HERIDOS">
      <sharedItems containsString="0" containsBlank="1" containsMixedTypes="0" containsNumber="1" containsInteger="1" count="11">
        <m/>
        <n v="7"/>
        <n v="4"/>
        <n v="1"/>
        <n v="3"/>
        <n v="2"/>
        <n v="8"/>
        <n v="9"/>
        <n v="5"/>
        <n v="64"/>
        <n v="42"/>
      </sharedItems>
    </cacheField>
    <cacheField name="DESAPA.">
      <sharedItems containsString="0" containsBlank="1" containsMixedTypes="0" containsNumber="1" containsInteger="1" count="4">
        <m/>
        <n v="1"/>
        <n v="9"/>
        <n v="35"/>
      </sharedItems>
    </cacheField>
    <cacheField name="PERSONAS">
      <sharedItems containsMixedTypes="1" containsNumber="1" containsInteger="1"/>
    </cacheField>
    <cacheField name="FAMILIAS">
      <sharedItems containsMixedTypes="1" containsNumber="1" containsInteger="1"/>
    </cacheField>
    <cacheField name="VIV.DESTRU.">
      <sharedItems containsMixedTypes="1" containsNumber="1" containsInteger="1"/>
    </cacheField>
    <cacheField name="VIV.AVER.">
      <sharedItems containsMixedTypes="1" containsNumber="1" containsInteger="1"/>
    </cacheField>
    <cacheField name="VIAS">
      <sharedItems containsString="0" containsBlank="1" containsMixedTypes="0" containsNumber="1" containsInteger="1" count="13">
        <m/>
        <n v="1"/>
        <n v="11"/>
        <n v="5"/>
        <n v="9"/>
        <n v="6"/>
        <n v="2"/>
        <n v="4"/>
        <n v="25"/>
        <n v="7"/>
        <n v="3"/>
        <n v="8"/>
        <n v="10"/>
      </sharedItems>
    </cacheField>
    <cacheField name="PTES.VEHIC.">
      <sharedItems containsString="0" containsBlank="1" containsMixedTypes="0" containsNumber="1" containsInteger="1" count="8">
        <m/>
        <n v="1"/>
        <n v="3"/>
        <n v="8"/>
        <n v="2"/>
        <n v="7"/>
        <n v="6"/>
        <n v="4"/>
      </sharedItems>
    </cacheField>
    <cacheField name="PTES.PEAT.">
      <sharedItems containsString="0" containsBlank="1" containsMixedTypes="0" containsNumber="1" containsInteger="1" count="9">
        <m/>
        <n v="2"/>
        <n v="7"/>
        <n v="1"/>
        <n v="5"/>
        <n v="3"/>
        <n v="9"/>
        <n v="10"/>
        <n v="8"/>
      </sharedItems>
    </cacheField>
    <cacheField name="ACUED.">
      <sharedItems containsString="0" containsBlank="1" containsMixedTypes="0" containsNumber="1" containsInteger="1" count="8">
        <n v="1"/>
        <m/>
        <n v="12"/>
        <n v="5"/>
        <n v="3"/>
        <n v="2"/>
        <n v="7"/>
        <n v="68"/>
      </sharedItems>
    </cacheField>
    <cacheField name="ALCANT.">
      <sharedItems containsString="0" containsBlank="1" containsMixedTypes="0" containsNumber="1" containsInteger="1" count="3">
        <m/>
        <n v="1"/>
        <n v="4"/>
      </sharedItems>
    </cacheField>
    <cacheField name="C. SALUD">
      <sharedItems containsString="0" containsBlank="1" containsMixedTypes="0" containsNumber="1" containsInteger="1" count="3">
        <m/>
        <n v="1"/>
        <n v="2"/>
      </sharedItems>
    </cacheField>
    <cacheField name="C.EDUCAT.">
      <sharedItems containsString="0" containsBlank="1" containsMixedTypes="0" containsNumber="1" containsInteger="1" count="10">
        <m/>
        <n v="1"/>
        <n v="19"/>
        <n v="2"/>
        <n v="4"/>
        <n v="6"/>
        <n v="3"/>
        <n v="13"/>
        <n v="9"/>
        <n v="16"/>
      </sharedItems>
    </cacheField>
    <cacheField name="C.COMUNIT.">
      <sharedItems containsString="0" containsBlank="1" containsMixedTypes="0" containsNumber="1" containsInteger="1" count="5">
        <m/>
        <n v="1"/>
        <n v="4"/>
        <n v="2"/>
        <n v="19"/>
      </sharedItems>
    </cacheField>
    <cacheField name="OTROS">
      <sharedItems containsMixedTypes="0"/>
    </cacheField>
    <cacheField name="MENAJES">
      <sharedItems containsMixedTypes="1" containsNumber="1"/>
    </cacheField>
    <cacheField name="AP.ALIMENT.">
      <sharedItems containsMixedTypes="1" containsNumber="1"/>
    </cacheField>
    <cacheField name="TEJAS">
      <sharedItems containsMixedTypes="1" containsNumber="1"/>
    </cacheField>
    <cacheField name="SACOS">
      <sharedItems containsString="0" containsBlank="1" containsMixedTypes="0" containsNumber="1" containsInteger="1" count="13">
        <m/>
        <n v="484880"/>
        <n v="4408000"/>
        <n v="18205040"/>
        <n v="2644800"/>
        <n v="8110720"/>
        <n v="1322400"/>
        <n v="2204000"/>
        <n v="881600"/>
        <n v="440800"/>
        <n v="1763200"/>
        <n v="11020000"/>
        <n v="5730400"/>
      </sharedItems>
    </cacheField>
    <cacheField name="OTROS2">
      <sharedItems containsString="0" containsBlank="1" containsMixedTypes="0" containsNumber="1" containsInteger="1" count="4">
        <m/>
        <n v="19163509"/>
        <n v="5500000"/>
        <n v="5040000"/>
      </sharedItems>
    </cacheField>
    <cacheField name="ECONOM.">
      <sharedItems containsBlank="1" containsMixedTypes="1" containsNumber="1" containsInteger="1" count="16">
        <m/>
        <n v="5000000"/>
        <n v="4000000"/>
        <s v="                  "/>
        <n v="685000"/>
        <n v="500000"/>
        <n v="9000000"/>
        <n v="625000"/>
        <n v="6900000"/>
        <n v="1000000"/>
        <n v="15000000"/>
        <n v="0"/>
        <n v="2000000"/>
        <n v="10000000"/>
        <n v="6000000"/>
        <n v="1600000"/>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worksheetSource ref="A2:AB554" sheet="REPORTE DE EMERGENCIAS"/>
  </cacheSource>
  <cacheFields count="28">
    <cacheField name="FECHA">
      <sharedItems containsSemiMixedTypes="0" containsNonDate="0" containsDate="1" containsString="0" containsMixedTypes="0"/>
    </cacheField>
    <cacheField name="DEPTO">
      <sharedItems containsMixedTypes="0" count="32">
        <s v="AMAZONAS"/>
        <s v="ANTIOQUIA"/>
        <s v="ARAUCA"/>
        <s v="ATLANTICO"/>
        <s v="BOLIVAR"/>
        <s v="BOYACA"/>
        <s v="CALDAS"/>
        <s v="CAQUETA"/>
        <s v="CASANARE"/>
        <s v="CAUCA"/>
        <s v="CESAR"/>
        <s v="CORDOBA"/>
        <s v="CUNDINAMARCA"/>
        <s v="CHOCO"/>
        <s v="GUAINIA"/>
        <s v="GUAVIARE"/>
        <s v="HUILA"/>
        <s v="LA GUAJIRA"/>
        <s v="MAGDALENA"/>
        <s v="META"/>
        <s v="NARIÑO"/>
        <s v="NORTE DE SANTANDER"/>
        <s v="PUTUMAYO"/>
        <s v="QUINDIO"/>
        <s v="RISARALDA"/>
        <s v="SAN ANDRES"/>
        <s v="SANTANDER"/>
        <s v="SUCRE"/>
        <s v="TOLIMA"/>
        <s v="VALLE"/>
        <s v="VAUPES"/>
        <s v="VICHADA"/>
      </sharedItems>
    </cacheField>
    <cacheField name="MUNICIPIO">
      <sharedItems containsMixedTypes="0"/>
    </cacheField>
    <cacheField name="EVENTO">
      <sharedItems containsMixedTypes="0" count="14">
        <s v="INUNDACION"/>
        <s v="AVALANCHA"/>
        <s v="CONTAMINACION"/>
        <s v="DESLIZAMIENTO"/>
        <s v="EXPLOSION"/>
        <s v="INC.ESTRUCTURAL"/>
        <s v="INC.FORESTAL"/>
        <s v="VENDAVAL"/>
        <s v="VARIOS"/>
        <s v="SEQUIA"/>
        <s v="EROSION"/>
        <s v="EPIDEMIA"/>
        <s v="ANTROPICO"/>
        <s v="MAREJADAS"/>
      </sharedItems>
    </cacheField>
    <cacheField name="MUERTOS">
      <sharedItems containsString="0" containsBlank="1" containsMixedTypes="0" containsNumber="1" containsInteger="1" count="7">
        <m/>
        <n v="3"/>
        <n v="2"/>
        <n v="71"/>
        <n v="11"/>
        <n v="1"/>
        <n v="5"/>
      </sharedItems>
    </cacheField>
    <cacheField name="HERIDOS">
      <sharedItems containsString="0" containsBlank="1" containsMixedTypes="0" containsNumber="1" containsInteger="1" count="12">
        <m/>
        <n v="2"/>
        <n v="3"/>
        <n v="1"/>
        <n v="9"/>
        <n v="64"/>
        <n v="8"/>
        <n v="70"/>
        <n v="4"/>
        <n v="7"/>
        <n v="42"/>
        <n v="5"/>
      </sharedItems>
    </cacheField>
    <cacheField name="DESAPA.">
      <sharedItems containsString="0" containsBlank="1" containsMixedTypes="0" containsNumber="1" containsInteger="1" count="4">
        <m/>
        <n v="1"/>
        <n v="9"/>
        <n v="35"/>
      </sharedItems>
    </cacheField>
    <cacheField name="PERSONAS">
      <sharedItems containsMixedTypes="1" containsNumber="1" containsInteger="1"/>
    </cacheField>
    <cacheField name="FAMILIAS">
      <sharedItems containsMixedTypes="1" containsNumber="1" containsInteger="1"/>
    </cacheField>
    <cacheField name="VIV.DESTRU.">
      <sharedItems containsMixedTypes="1" containsNumber="1" containsInteger="1"/>
    </cacheField>
    <cacheField name="VIV.AVER.">
      <sharedItems containsMixedTypes="1" containsNumber="1" containsInteger="1"/>
    </cacheField>
    <cacheField name="VIAS">
      <sharedItems containsString="0" containsBlank="1" containsMixedTypes="0" containsNumber="1" containsInteger="1" count="13">
        <n v="25"/>
        <m/>
        <n v="1"/>
        <n v="2"/>
        <n v="11"/>
        <n v="4"/>
        <n v="10"/>
        <n v="5"/>
        <n v="3"/>
        <n v="9"/>
        <n v="7"/>
        <n v="6"/>
        <n v="8"/>
      </sharedItems>
    </cacheField>
    <cacheField name="PTES.VEHIC.">
      <sharedItems containsString="0" containsBlank="1" containsMixedTypes="0" containsNumber="1" containsInteger="1" count="8">
        <m/>
        <n v="1"/>
        <n v="3"/>
        <n v="2"/>
        <n v="8"/>
        <n v="7"/>
        <n v="6"/>
        <n v="4"/>
      </sharedItems>
    </cacheField>
    <cacheField name="PTES.PEAT.">
      <sharedItems containsString="0" containsBlank="1" containsMixedTypes="0" containsNumber="1" containsInteger="1" count="9">
        <n v="8"/>
        <m/>
        <n v="1"/>
        <n v="5"/>
        <n v="3"/>
        <n v="9"/>
        <n v="2"/>
        <n v="10"/>
        <n v="7"/>
      </sharedItems>
    </cacheField>
    <cacheField name="ACUED.">
      <sharedItems containsString="0" containsBlank="1" containsMixedTypes="0" containsNumber="1" containsInteger="1" count="8">
        <m/>
        <n v="1"/>
        <n v="2"/>
        <n v="3"/>
        <n v="12"/>
        <n v="5"/>
        <n v="7"/>
        <n v="68"/>
      </sharedItems>
    </cacheField>
    <cacheField name="ALCANT.">
      <sharedItems containsString="0" containsBlank="1" containsMixedTypes="0" containsNumber="1" containsInteger="1" count="3">
        <m/>
        <n v="1"/>
        <n v="4"/>
      </sharedItems>
    </cacheField>
    <cacheField name="C. SALUD">
      <sharedItems containsString="0" containsBlank="1" containsMixedTypes="0" containsNumber="1" containsInteger="1" count="3">
        <m/>
        <n v="1"/>
        <n v="2"/>
      </sharedItems>
    </cacheField>
    <cacheField name="C.EDUCAT.">
      <sharedItems containsString="0" containsBlank="1" containsMixedTypes="0" containsNumber="1" containsInteger="1" count="10">
        <n v="13"/>
        <m/>
        <n v="1"/>
        <n v="9"/>
        <n v="2"/>
        <n v="6"/>
        <n v="4"/>
        <n v="3"/>
        <n v="16"/>
        <n v="19"/>
      </sharedItems>
    </cacheField>
    <cacheField name="C.COMUNIT.">
      <sharedItems containsString="0" containsBlank="1" containsMixedTypes="0" containsNumber="1" containsInteger="1" count="5">
        <n v="19"/>
        <m/>
        <n v="1"/>
        <n v="2"/>
        <n v="4"/>
      </sharedItems>
    </cacheField>
    <cacheField name="OTROS">
      <sharedItems containsMixedTypes="0"/>
    </cacheField>
    <cacheField name="MENAJES">
      <sharedItems containsMixedTypes="1" containsNumber="1"/>
    </cacheField>
    <cacheField name="AP.ALIMENT.">
      <sharedItems containsMixedTypes="1" containsNumber="1"/>
    </cacheField>
    <cacheField name="TEJAS">
      <sharedItems containsMixedTypes="1" containsNumber="1"/>
    </cacheField>
    <cacheField name="SACOS">
      <sharedItems containsString="0" containsBlank="1" containsMixedTypes="0" containsNumber="1" containsInteger="1" count="14">
        <m/>
        <n v="484880"/>
        <n v="1322400"/>
        <n v="881600"/>
        <n v="2204000"/>
        <n v="4408000"/>
        <n v="440800"/>
        <n v="1763200"/>
        <n v="5730400"/>
        <n v="18205040"/>
        <n v="2644800"/>
        <n v="8110720"/>
        <n v="2997440"/>
        <n v="11020000"/>
      </sharedItems>
    </cacheField>
    <cacheField name="OTROS2">
      <sharedItems containsString="0" containsBlank="1" containsMixedTypes="0" containsNumber="1" containsInteger="1" count="4">
        <m/>
        <n v="19163509"/>
        <n v="5500000"/>
        <n v="5040000"/>
      </sharedItems>
    </cacheField>
    <cacheField name="ECONOM.">
      <sharedItems containsBlank="1" containsMixedTypes="1" containsNumber="1" containsInteger="1" count="16">
        <n v="6900000"/>
        <m/>
        <n v="10000000"/>
        <n v="5000000"/>
        <n v="4000000"/>
        <n v="15000000"/>
        <s v="                  "/>
        <n v="6000000"/>
        <n v="9000000"/>
        <n v="1000000"/>
        <n v="685000"/>
        <n v="500000"/>
        <n v="2000000"/>
        <n v="625000"/>
        <n v="0"/>
        <n v="1600000"/>
      </sharedItems>
    </cacheField>
    <cacheField name="TOTAL ">
      <sharedItems containsSemiMixedTypes="0" containsString="0" containsMixedTypes="0" containsNumber="1"/>
    </cacheField>
    <cacheField name="OBSERVACION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xml><?xml version="1.0" encoding="utf-8"?>
<pivotTableDefinition xmlns="http://schemas.openxmlformats.org/spreadsheetml/2006/main" name="Tabla dinámica1" cacheId="9"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P35" firstHeaderRow="1" firstDataRow="2" firstDataCol="1"/>
  <pivotFields count="26">
    <pivotField compact="0" outline="0" subtotalTop="0" showAll="0" numFmtId="15"/>
    <pivotField axis="axisRow" compact="0" outline="0" subtotalTop="0" showAll="0" name="DEPARTAMENTO">
      <items count="33">
        <item x="27"/>
        <item x="1"/>
        <item x="28"/>
        <item x="24"/>
        <item x="20"/>
        <item x="7"/>
        <item x="26"/>
        <item x="22"/>
        <item x="16"/>
        <item x="21"/>
        <item x="14"/>
        <item x="4"/>
        <item x="10"/>
        <item x="8"/>
        <item x="31"/>
        <item x="17"/>
        <item x="9"/>
        <item x="12"/>
        <item x="0"/>
        <item x="25"/>
        <item x="2"/>
        <item x="3"/>
        <item x="18"/>
        <item x="11"/>
        <item x="23"/>
        <item x="15"/>
        <item x="6"/>
        <item x="5"/>
        <item x="19"/>
        <item x="13"/>
        <item x="30"/>
        <item x="29"/>
        <item t="default"/>
      </items>
    </pivotField>
    <pivotField compact="0" outline="0" subtotalTop="0" showAll="0"/>
    <pivotField axis="axisCol" compact="0" outline="0" subtotalTop="0" showAll="0" sumSubtotal="1">
      <items count="15">
        <item x="9"/>
        <item x="8"/>
        <item x="3"/>
        <item x="6"/>
        <item x="10"/>
        <item x="4"/>
        <item x="1"/>
        <item x="2"/>
        <item x="5"/>
        <item x="0"/>
        <item x="7"/>
        <item x="11"/>
        <item x="12"/>
        <item x="13"/>
        <item t="sum"/>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3"/>
  </colFields>
  <colItems count="15">
    <i>
      <x/>
    </i>
    <i>
      <x v="1"/>
    </i>
    <i>
      <x v="2"/>
    </i>
    <i>
      <x v="3"/>
    </i>
    <i>
      <x v="4"/>
    </i>
    <i>
      <x v="5"/>
    </i>
    <i>
      <x v="6"/>
    </i>
    <i>
      <x v="7"/>
    </i>
    <i>
      <x v="8"/>
    </i>
    <i>
      <x v="9"/>
    </i>
    <i>
      <x v="10"/>
    </i>
    <i>
      <x v="11"/>
    </i>
    <i>
      <x v="12"/>
    </i>
    <i>
      <x v="13"/>
    </i>
    <i t="grand">
      <x/>
    </i>
  </colItems>
  <dataFields count="1">
    <dataField name="Suma de PERSONAS" fld="7" baseField="0" baseItem="0"/>
  </dataFields>
  <formats count="21">
    <format dxfId="0">
      <pivotArea outline="0" fieldPosition="0" axis="axisRow" dataOnly="0" field="1" labelOnly="1" type="button"/>
    </format>
    <format dxfId="1">
      <pivotArea outline="0" fieldPosition="0" axis="axisRow" dataOnly="0" field="1" labelOnly="1" type="button"/>
    </format>
    <format dxfId="2">
      <pivotArea outline="0" fieldPosition="0" dataOnly="0">
        <references count="1">
          <reference field="3" count="0"/>
        </references>
      </pivotArea>
    </format>
    <format dxfId="0">
      <pivotArea outline="0" fieldPosition="0" dataOnly="0">
        <references count="1">
          <reference field="3" count="0"/>
        </references>
      </pivotArea>
    </format>
    <format dxfId="3">
      <pivotArea outline="0" fieldPosition="0" dataOnly="0">
        <references count="1">
          <reference field="3" count="0"/>
        </references>
      </pivotArea>
    </format>
    <format dxfId="0">
      <pivotArea outline="0" fieldPosition="0" axis="axisCol" dataOnly="0" field="3" labelOnly="1" type="button"/>
    </format>
    <format dxfId="4">
      <pivotArea outline="0" fieldPosition="0" axis="axisCol" dataOnly="0" field="3" labelOnly="1" type="button"/>
    </format>
    <format dxfId="2">
      <pivotArea outline="0" fieldPosition="0" axis="axisValues" dataOnly="0" field="-2" labelOnly="1" type="button"/>
    </format>
    <format dxfId="0">
      <pivotArea outline="0" fieldPosition="0" dataOnly="0" grandCol="1"/>
    </format>
    <format dxfId="3">
      <pivotArea outline="0" fieldPosition="0" dataOnly="0" grandCol="1"/>
    </format>
    <format dxfId="0">
      <pivotArea outline="0" fieldPosition="0" axis="axisRow" dataOnly="0" field="1" grandRow="1">
        <references count="1">
          <reference field="4294967294" count="1">
            <x v="16389"/>
          </reference>
        </references>
      </pivotArea>
    </format>
    <format dxfId="0">
      <pivotArea outline="0" fieldPosition="0" axis="axisRow" dataOnly="0" field="1" grandRow="1">
        <references count="1">
          <reference field="4294967294" count="1">
            <x v="0"/>
          </reference>
        </references>
      </pivotArea>
    </format>
    <format dxfId="4">
      <pivotArea outline="0" fieldPosition="0" axis="axisRow" dataOnly="0" field="1" labelOnly="1" type="button"/>
    </format>
    <format dxfId="2">
      <pivotArea outline="0" fieldPosition="0" axis="axisCol" dataOnly="0" field="3" labelOnly="1" type="button"/>
    </format>
    <format dxfId="0">
      <pivotArea outline="0" fieldPosition="0" dataOnly="0">
        <references count="1">
          <reference field="1" count="1">
            <x v="0"/>
          </reference>
        </references>
      </pivotArea>
    </format>
    <format dxfId="0">
      <pivotArea outline="0" fieldPosition="0" dataOnly="0">
        <references count="1">
          <reference field="1" count="1">
            <x v="1"/>
          </reference>
        </references>
      </pivotArea>
    </format>
    <format dxfId="0">
      <pivotArea outline="0" fieldPosition="0" dataOnly="0">
        <references count="1">
          <reference field="1" count="7">
            <x v="2"/>
            <x v="3"/>
            <x v="4"/>
            <x v="5"/>
            <x v="6"/>
            <x v="7"/>
            <x v="8"/>
          </reference>
        </references>
      </pivotArea>
    </format>
    <format dxfId="0">
      <pivotArea outline="0" fieldPosition="0" dataOnly="0">
        <references count="1">
          <reference field="1" count="15">
            <x v="9"/>
            <x v="10"/>
            <x v="11"/>
            <x v="12"/>
            <x v="13"/>
            <x v="14"/>
            <x v="15"/>
            <x v="16"/>
            <x v="17"/>
            <x v="18"/>
            <x v="19"/>
            <x v="20"/>
            <x v="21"/>
            <x v="22"/>
            <x v="23"/>
          </reference>
        </references>
      </pivotArea>
    </format>
    <format dxfId="0">
      <pivotArea outline="0" fieldPosition="0" dataOnly="0">
        <references count="1">
          <reference field="1" count="8">
            <x v="24"/>
            <x v="25"/>
            <x v="26"/>
            <x v="27"/>
            <x v="28"/>
            <x v="29"/>
            <x v="30"/>
            <x v="31"/>
          </reference>
        </references>
      </pivotArea>
    </format>
    <format dxfId="5">
      <pivotArea outline="0" fieldPosition="0" dataOnly="0" grandRow="1"/>
    </format>
    <format dxfId="4">
      <pivotArea outline="0" fieldPosition="0">
        <references count="1">
          <reference field="1"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2" cacheId="6"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O35" firstHeaderRow="1" firstDataRow="2" firstDataCol="1"/>
  <pivotFields count="26">
    <pivotField compact="0" outline="0" subtotalTop="0" showAll="0" numFmtId="15"/>
    <pivotField axis="axisRow" compact="0" outline="0" subtotalTop="0" showAll="0" name="DEPARTAMENTO">
      <items count="33">
        <item x="27"/>
        <item x="1"/>
        <item x="28"/>
        <item x="24"/>
        <item x="20"/>
        <item x="7"/>
        <item x="26"/>
        <item x="22"/>
        <item x="16"/>
        <item x="21"/>
        <item x="14"/>
        <item x="4"/>
        <item x="10"/>
        <item x="8"/>
        <item x="31"/>
        <item x="17"/>
        <item x="9"/>
        <item x="12"/>
        <item x="0"/>
        <item x="25"/>
        <item x="2"/>
        <item x="3"/>
        <item x="18"/>
        <item x="11"/>
        <item x="23"/>
        <item x="15"/>
        <item x="6"/>
        <item x="5"/>
        <item x="19"/>
        <item x="13"/>
        <item x="30"/>
        <item x="29"/>
        <item t="default"/>
      </items>
    </pivotField>
    <pivotField compact="0" outline="0" subtotalTop="0" showAll="0"/>
    <pivotField axis="axisCol" compact="0" outline="0" subtotalTop="0" showAll="0">
      <items count="14">
        <item x="9"/>
        <item x="8"/>
        <item x="3"/>
        <item x="6"/>
        <item x="10"/>
        <item x="4"/>
        <item x="1"/>
        <item x="2"/>
        <item x="5"/>
        <item x="0"/>
        <item x="7"/>
        <item x="11"/>
        <item x="1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3"/>
  </colFields>
  <colItems count="14">
    <i>
      <x/>
    </i>
    <i>
      <x v="1"/>
    </i>
    <i>
      <x v="2"/>
    </i>
    <i>
      <x v="3"/>
    </i>
    <i>
      <x v="4"/>
    </i>
    <i>
      <x v="5"/>
    </i>
    <i>
      <x v="6"/>
    </i>
    <i>
      <x v="7"/>
    </i>
    <i>
      <x v="8"/>
    </i>
    <i>
      <x v="9"/>
    </i>
    <i>
      <x v="10"/>
    </i>
    <i>
      <x v="11"/>
    </i>
    <i>
      <x v="12"/>
    </i>
    <i t="grand">
      <x/>
    </i>
  </colItems>
  <dataFields count="1">
    <dataField name="Suma de VIV.DESTRU." fld="9" baseField="0" baseItem="0"/>
  </dataFields>
  <formats count="12">
    <format dxfId="0">
      <pivotArea outline="0" fieldPosition="0" dataOnly="0" labelOnly="1">
        <references count="1">
          <reference field="1" count="0"/>
        </references>
      </pivotArea>
    </format>
    <format dxfId="4">
      <pivotArea outline="0" fieldPosition="0" axis="axisRow" dataOnly="0" field="1" labelOnly="1" type="button"/>
    </format>
    <format dxfId="6">
      <pivotArea outline="0" fieldPosition="0" axis="axisRow" dataOnly="0" field="1" labelOnly="1" type="button"/>
    </format>
    <format dxfId="0">
      <pivotArea outline="0" fieldPosition="0" axis="axisRow" dataOnly="0" field="1" labelOnly="1" type="button"/>
    </format>
    <format dxfId="6">
      <pivotArea outline="0" fieldPosition="0" axis="axisCol" dataOnly="0" field="3" labelOnly="1" type="button"/>
    </format>
    <format dxfId="0">
      <pivotArea outline="0" fieldPosition="0" axis="axisCol" dataOnly="0" field="3" labelOnly="1" type="button"/>
    </format>
    <format dxfId="0">
      <pivotArea outline="0" fieldPosition="0" axis="axisCol" dataOnly="0" field="3" grandCol="1">
        <references count="1">
          <reference field="3" count="0"/>
        </references>
      </pivotArea>
    </format>
    <format dxfId="2">
      <pivotArea outline="0" fieldPosition="0" axis="axisCol" dataOnly="0" field="3" grandCol="1">
        <references count="1">
          <reference field="3" count="0"/>
        </references>
      </pivotArea>
    </format>
    <format dxfId="3">
      <pivotArea outline="0" fieldPosition="0" axis="axisCol" dataOnly="0" field="3" grandCol="1">
        <references count="1">
          <reference field="3" count="0"/>
        </references>
      </pivotArea>
    </format>
    <format dxfId="7">
      <pivotArea outline="0" fieldPosition="0" dataOnly="0" labelOnly="1">
        <references count="1">
          <reference field="4294967294" count="0"/>
        </references>
      </pivotArea>
    </format>
    <format dxfId="6">
      <pivotArea outline="0" fieldPosition="0" axis="axisCol" dataOnly="0" field="3" grandCol="1">
        <references count="1">
          <reference field="3" count="0"/>
        </references>
      </pivotArea>
    </format>
    <format dxfId="0">
      <pivotArea outline="0" fieldPosition="0" dataOnly="0" grandRow="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Tabla dinámica3" cacheId="7"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O35" firstHeaderRow="1" firstDataRow="2" firstDataCol="1"/>
  <pivotFields count="26">
    <pivotField compact="0" outline="0" subtotalTop="0" showAll="0" numFmtId="15"/>
    <pivotField axis="axisRow" compact="0" outline="0" subtotalTop="0" showAll="0" name="DEPARTAMENTO">
      <items count="33">
        <item x="27"/>
        <item x="1"/>
        <item x="28"/>
        <item x="24"/>
        <item x="20"/>
        <item x="7"/>
        <item x="26"/>
        <item x="22"/>
        <item x="16"/>
        <item x="21"/>
        <item x="14"/>
        <item x="4"/>
        <item x="10"/>
        <item x="8"/>
        <item x="31"/>
        <item x="17"/>
        <item x="9"/>
        <item x="12"/>
        <item x="0"/>
        <item x="25"/>
        <item x="2"/>
        <item x="3"/>
        <item x="18"/>
        <item x="11"/>
        <item x="23"/>
        <item x="15"/>
        <item x="6"/>
        <item x="5"/>
        <item x="19"/>
        <item x="13"/>
        <item x="30"/>
        <item x="29"/>
        <item t="default"/>
      </items>
    </pivotField>
    <pivotField compact="0" outline="0" subtotalTop="0" showAll="0"/>
    <pivotField axis="axisCol" compact="0" outline="0" subtotalTop="0" showAll="0">
      <items count="14">
        <item x="9"/>
        <item x="8"/>
        <item x="3"/>
        <item x="6"/>
        <item x="10"/>
        <item x="4"/>
        <item x="1"/>
        <item x="2"/>
        <item x="5"/>
        <item x="0"/>
        <item x="7"/>
        <item x="11"/>
        <item x="1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3"/>
  </colFields>
  <colItems count="14">
    <i>
      <x/>
    </i>
    <i>
      <x v="1"/>
    </i>
    <i>
      <x v="2"/>
    </i>
    <i>
      <x v="3"/>
    </i>
    <i>
      <x v="4"/>
    </i>
    <i>
      <x v="5"/>
    </i>
    <i>
      <x v="6"/>
    </i>
    <i>
      <x v="7"/>
    </i>
    <i>
      <x v="8"/>
    </i>
    <i>
      <x v="9"/>
    </i>
    <i>
      <x v="10"/>
    </i>
    <i>
      <x v="11"/>
    </i>
    <i>
      <x v="12"/>
    </i>
    <i t="grand">
      <x/>
    </i>
  </colItems>
  <dataFields count="1">
    <dataField name="Suma de VIV.AVER." fld="10" baseField="0" baseItem="0"/>
  </dataFields>
  <formats count="12">
    <format dxfId="0">
      <pivotArea outline="0" fieldPosition="0" dataOnly="0" labelOnly="1">
        <references count="1">
          <reference field="1" count="0"/>
        </references>
      </pivotArea>
    </format>
    <format dxfId="6">
      <pivotArea outline="0" fieldPosition="0" axis="axisRow" dataOnly="0" field="1" labelOnly="1" type="button"/>
    </format>
    <format dxfId="0">
      <pivotArea outline="0" fieldPosition="0" axis="axisRow" dataOnly="0" field="1" labelOnly="1" type="button"/>
    </format>
    <format dxfId="4">
      <pivotArea outline="0" fieldPosition="0" axis="axisCol" dataOnly="0" field="3" labelOnly="1" type="button"/>
    </format>
    <format dxfId="0">
      <pivotArea outline="0" fieldPosition="0" axis="axisCol" dataOnly="0" field="3" labelOnly="1" type="button"/>
    </format>
    <format dxfId="4">
      <pivotArea outline="0" fieldPosition="0" axis="axisRow" dataOnly="0" field="1" labelOnly="1" type="button"/>
    </format>
    <format dxfId="2">
      <pivotArea outline="0" fieldPosition="0" axis="axisCol" dataOnly="0" field="3" grandCol="1">
        <references count="1">
          <reference field="3" count="0"/>
        </references>
      </pivotArea>
    </format>
    <format dxfId="0">
      <pivotArea outline="0" fieldPosition="0" axis="axisCol" dataOnly="0" field="3" grandCol="1">
        <references count="1">
          <reference field="3" count="0"/>
        </references>
      </pivotArea>
    </format>
    <format dxfId="6">
      <pivotArea outline="0" fieldPosition="0" axis="axisCol" dataOnly="0" field="3" grandCol="1">
        <references count="1">
          <reference field="3" count="0"/>
        </references>
      </pivotArea>
    </format>
    <format dxfId="8">
      <pivotArea outline="0" fieldPosition="0" axis="axisCol" dataOnly="0" field="3" grandCol="1">
        <references count="1">
          <reference field="3" count="0"/>
        </references>
      </pivotArea>
    </format>
    <format dxfId="3">
      <pivotArea outline="0" fieldPosition="0" axis="axisCol" dataOnly="0" field="3" grandCol="1">
        <references count="1">
          <reference field="3" count="0"/>
        </references>
      </pivotArea>
    </format>
    <format dxfId="0">
      <pivotArea outline="0" fieldPosition="0" dataOnly="0" grandRow="1"/>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Tabla dinámica1" cacheId="10" dataOnRows="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1:C67" firstHeaderRow="1" firstDataRow="1" firstDataCol="2"/>
  <pivotFields count="28">
    <pivotField compact="0" outline="0" subtotalTop="0" showAll="0" numFmtId="15"/>
    <pivotField axis="axisRow" compact="0" outline="0" subtotalTop="0" showAl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186"/>
    <pivotField compact="0" outline="0" subtotalTop="0" showAll="0"/>
  </pivotFields>
  <rowFields count="2">
    <field x="1"/>
    <field x="-2"/>
  </rowFields>
  <rowItems count="66">
    <i>
      <x/>
      <x/>
    </i>
    <i i="1" r="1">
      <x v="1"/>
    </i>
    <i>
      <x v="1"/>
      <x/>
    </i>
    <i i="1" r="1">
      <x v="1"/>
    </i>
    <i>
      <x v="2"/>
      <x/>
    </i>
    <i i="1" r="1">
      <x v="1"/>
    </i>
    <i>
      <x v="3"/>
      <x/>
    </i>
    <i i="1" r="1">
      <x v="1"/>
    </i>
    <i>
      <x v="4"/>
      <x/>
    </i>
    <i i="1" r="1">
      <x v="1"/>
    </i>
    <i>
      <x v="5"/>
      <x/>
    </i>
    <i i="1" r="1">
      <x v="1"/>
    </i>
    <i>
      <x v="6"/>
      <x/>
    </i>
    <i i="1" r="1">
      <x v="1"/>
    </i>
    <i>
      <x v="7"/>
      <x/>
    </i>
    <i i="1" r="1">
      <x v="1"/>
    </i>
    <i>
      <x v="8"/>
      <x/>
    </i>
    <i i="1" r="1">
      <x v="1"/>
    </i>
    <i>
      <x v="9"/>
      <x/>
    </i>
    <i i="1" r="1">
      <x v="1"/>
    </i>
    <i>
      <x v="10"/>
      <x/>
    </i>
    <i i="1" r="1">
      <x v="1"/>
    </i>
    <i>
      <x v="11"/>
      <x/>
    </i>
    <i i="1" r="1">
      <x v="1"/>
    </i>
    <i>
      <x v="12"/>
      <x/>
    </i>
    <i i="1" r="1">
      <x v="1"/>
    </i>
    <i>
      <x v="13"/>
      <x/>
    </i>
    <i i="1" r="1">
      <x v="1"/>
    </i>
    <i>
      <x v="14"/>
      <x/>
    </i>
    <i i="1" r="1">
      <x v="1"/>
    </i>
    <i>
      <x v="15"/>
      <x/>
    </i>
    <i i="1" r="1">
      <x v="1"/>
    </i>
    <i>
      <x v="16"/>
      <x/>
    </i>
    <i i="1" r="1">
      <x v="1"/>
    </i>
    <i>
      <x v="17"/>
      <x/>
    </i>
    <i i="1" r="1">
      <x v="1"/>
    </i>
    <i>
      <x v="18"/>
      <x/>
    </i>
    <i i="1" r="1">
      <x v="1"/>
    </i>
    <i>
      <x v="19"/>
      <x/>
    </i>
    <i i="1" r="1">
      <x v="1"/>
    </i>
    <i>
      <x v="20"/>
      <x/>
    </i>
    <i i="1" r="1">
      <x v="1"/>
    </i>
    <i>
      <x v="21"/>
      <x/>
    </i>
    <i i="1" r="1">
      <x v="1"/>
    </i>
    <i>
      <x v="22"/>
      <x/>
    </i>
    <i i="1" r="1">
      <x v="1"/>
    </i>
    <i>
      <x v="23"/>
      <x/>
    </i>
    <i i="1" r="1">
      <x v="1"/>
    </i>
    <i>
      <x v="24"/>
      <x/>
    </i>
    <i i="1" r="1">
      <x v="1"/>
    </i>
    <i>
      <x v="25"/>
      <x/>
    </i>
    <i i="1" r="1">
      <x v="1"/>
    </i>
    <i>
      <x v="26"/>
      <x/>
    </i>
    <i i="1" r="1">
      <x v="1"/>
    </i>
    <i>
      <x v="27"/>
      <x/>
    </i>
    <i i="1" r="1">
      <x v="1"/>
    </i>
    <i>
      <x v="28"/>
      <x/>
    </i>
    <i i="1" r="1">
      <x v="1"/>
    </i>
    <i>
      <x v="29"/>
      <x/>
    </i>
    <i i="1" r="1">
      <x v="1"/>
    </i>
    <i>
      <x v="30"/>
      <x/>
    </i>
    <i i="1" r="1">
      <x v="1"/>
    </i>
    <i>
      <x v="31"/>
      <x/>
    </i>
    <i i="1" r="1">
      <x v="1"/>
    </i>
    <i t="grand">
      <x/>
    </i>
    <i t="grand" i="1">
      <x/>
    </i>
  </rowItems>
  <colItems count="1">
    <i/>
  </colItems>
  <dataFields count="2">
    <dataField name="Suma de PERSONAS" fld="7" baseField="0" baseItem="0"/>
    <dataField name="Suma de TOTAL " fld="26"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35"/>
  <sheetViews>
    <sheetView workbookViewId="0" topLeftCell="B53">
      <selection activeCell="G74" sqref="G74"/>
    </sheetView>
  </sheetViews>
  <sheetFormatPr defaultColWidth="11.421875" defaultRowHeight="12.75"/>
  <cols>
    <col min="1" max="1" width="22.140625" style="0" customWidth="1"/>
    <col min="2" max="2" width="12.57421875" style="0" bestFit="1" customWidth="1"/>
    <col min="3" max="3" width="16.7109375" style="0" hidden="1" customWidth="1"/>
    <col min="4" max="4" width="16.00390625" style="0" bestFit="1" customWidth="1"/>
    <col min="5" max="5" width="10.00390625" style="0" bestFit="1" customWidth="1"/>
    <col min="6" max="6" width="9.421875" style="0" hidden="1" customWidth="1"/>
    <col min="7" max="7" width="18.28125" style="0" customWidth="1"/>
    <col min="8" max="8" width="14.57421875" style="0" hidden="1" customWidth="1"/>
    <col min="9" max="9" width="12.7109375" style="0" bestFit="1" customWidth="1"/>
    <col min="10" max="10" width="12.57421875" style="0" bestFit="1" customWidth="1"/>
    <col min="11" max="11" width="8.28125" style="0" bestFit="1" customWidth="1"/>
    <col min="12" max="12" width="11.140625" style="0" bestFit="1" customWidth="1"/>
    <col min="13" max="13" width="12.00390625" style="0" bestFit="1" customWidth="1"/>
    <col min="14" max="14" width="8.28125" style="0" bestFit="1" customWidth="1"/>
    <col min="15" max="15" width="12.00390625" style="0" hidden="1" customWidth="1"/>
    <col min="16" max="16" width="13.28125" style="0" bestFit="1" customWidth="1"/>
  </cols>
  <sheetData>
    <row r="1" spans="1:16" ht="15.75">
      <c r="A1" s="146" t="s">
        <v>702</v>
      </c>
      <c r="B1" s="80" t="s">
        <v>817</v>
      </c>
      <c r="C1" s="73"/>
      <c r="D1" s="73"/>
      <c r="E1" s="73"/>
      <c r="F1" s="73"/>
      <c r="G1" s="73"/>
      <c r="H1" s="73"/>
      <c r="I1" s="73"/>
      <c r="J1" s="73"/>
      <c r="K1" s="73"/>
      <c r="L1" s="73"/>
      <c r="M1" s="73"/>
      <c r="N1" s="73"/>
      <c r="O1" s="73"/>
      <c r="P1" s="74"/>
    </row>
    <row r="2" spans="1:16" ht="16.5" thickBot="1">
      <c r="A2" s="85" t="s">
        <v>815</v>
      </c>
      <c r="B2" s="83" t="s">
        <v>107</v>
      </c>
      <c r="C2" s="84" t="s">
        <v>82</v>
      </c>
      <c r="D2" s="84" t="s">
        <v>891</v>
      </c>
      <c r="E2" s="84" t="s">
        <v>36</v>
      </c>
      <c r="F2" s="84" t="s">
        <v>114</v>
      </c>
      <c r="G2" s="84" t="s">
        <v>879</v>
      </c>
      <c r="H2" s="84" t="s">
        <v>872</v>
      </c>
      <c r="I2" s="84" t="s">
        <v>821</v>
      </c>
      <c r="J2" s="84" t="s">
        <v>25</v>
      </c>
      <c r="K2" s="84" t="s">
        <v>884</v>
      </c>
      <c r="L2" s="84" t="s">
        <v>911</v>
      </c>
      <c r="M2" s="84" t="s">
        <v>707</v>
      </c>
      <c r="N2" s="84" t="s">
        <v>875</v>
      </c>
      <c r="O2" s="84" t="s">
        <v>887</v>
      </c>
      <c r="P2" s="75" t="s">
        <v>701</v>
      </c>
    </row>
    <row r="3" spans="1:16" ht="15.75" hidden="1">
      <c r="A3" s="89" t="s">
        <v>172</v>
      </c>
      <c r="B3" s="94"/>
      <c r="C3" s="94"/>
      <c r="D3" s="94"/>
      <c r="E3" s="94"/>
      <c r="F3" s="94"/>
      <c r="G3" s="94"/>
      <c r="H3" s="94"/>
      <c r="I3" s="94">
        <v>10092</v>
      </c>
      <c r="J3" s="94"/>
      <c r="K3" s="94"/>
      <c r="L3" s="94"/>
      <c r="M3" s="94"/>
      <c r="N3" s="94"/>
      <c r="O3" s="94"/>
      <c r="P3" s="92">
        <v>10092</v>
      </c>
    </row>
    <row r="4" spans="1:16" ht="15.75" hidden="1">
      <c r="A4" s="89" t="s">
        <v>820</v>
      </c>
      <c r="B4" s="94"/>
      <c r="C4" s="94"/>
      <c r="D4" s="94">
        <v>375</v>
      </c>
      <c r="E4" s="94"/>
      <c r="F4" s="94"/>
      <c r="G4" s="94"/>
      <c r="H4" s="94"/>
      <c r="I4" s="94">
        <v>8491</v>
      </c>
      <c r="J4" s="94"/>
      <c r="K4" s="94"/>
      <c r="L4" s="94">
        <v>837</v>
      </c>
      <c r="M4" s="94">
        <v>1248</v>
      </c>
      <c r="N4" s="94"/>
      <c r="O4" s="94"/>
      <c r="P4" s="92">
        <v>10951</v>
      </c>
    </row>
    <row r="5" spans="1:16" ht="15.75" hidden="1">
      <c r="A5" s="89" t="s">
        <v>432</v>
      </c>
      <c r="B5" s="94"/>
      <c r="C5" s="94"/>
      <c r="D5" s="94"/>
      <c r="E5" s="94"/>
      <c r="F5" s="94"/>
      <c r="G5" s="94"/>
      <c r="H5" s="94"/>
      <c r="I5" s="94">
        <v>6458</v>
      </c>
      <c r="J5" s="94"/>
      <c r="K5" s="94"/>
      <c r="L5" s="94">
        <v>225</v>
      </c>
      <c r="M5" s="94"/>
      <c r="N5" s="94"/>
      <c r="O5" s="94"/>
      <c r="P5" s="92">
        <v>6683</v>
      </c>
    </row>
    <row r="6" spans="1:16" ht="15.75" hidden="1">
      <c r="A6" s="89" t="s">
        <v>203</v>
      </c>
      <c r="B6" s="94"/>
      <c r="C6" s="94"/>
      <c r="D6" s="94"/>
      <c r="E6" s="94"/>
      <c r="F6" s="94"/>
      <c r="G6" s="94"/>
      <c r="H6" s="94"/>
      <c r="I6" s="94">
        <v>5279</v>
      </c>
      <c r="J6" s="94"/>
      <c r="K6" s="94"/>
      <c r="L6" s="94"/>
      <c r="M6" s="94"/>
      <c r="N6" s="94">
        <v>3112</v>
      </c>
      <c r="O6" s="94"/>
      <c r="P6" s="92">
        <v>8391</v>
      </c>
    </row>
    <row r="7" spans="1:16" ht="15.75" hidden="1">
      <c r="A7" s="89" t="s">
        <v>59</v>
      </c>
      <c r="B7" s="94"/>
      <c r="C7" s="94"/>
      <c r="D7" s="94">
        <v>600</v>
      </c>
      <c r="E7" s="94"/>
      <c r="F7" s="94"/>
      <c r="G7" s="94"/>
      <c r="H7" s="94"/>
      <c r="I7" s="94">
        <v>25426</v>
      </c>
      <c r="J7" s="94"/>
      <c r="K7" s="94">
        <v>120</v>
      </c>
      <c r="L7" s="94">
        <v>105</v>
      </c>
      <c r="M7" s="94"/>
      <c r="N7" s="94"/>
      <c r="O7" s="94"/>
      <c r="P7" s="92">
        <v>26251</v>
      </c>
    </row>
    <row r="8" spans="1:16" ht="15.75" hidden="1">
      <c r="A8" s="89" t="s">
        <v>829</v>
      </c>
      <c r="B8" s="94">
        <v>1641</v>
      </c>
      <c r="C8" s="94"/>
      <c r="D8" s="94">
        <v>1059</v>
      </c>
      <c r="E8" s="94"/>
      <c r="F8" s="94"/>
      <c r="G8" s="94"/>
      <c r="H8" s="94"/>
      <c r="I8" s="94">
        <v>1734</v>
      </c>
      <c r="J8" s="94"/>
      <c r="K8" s="94"/>
      <c r="L8" s="94"/>
      <c r="M8" s="94"/>
      <c r="N8" s="94">
        <v>10</v>
      </c>
      <c r="O8" s="94"/>
      <c r="P8" s="92">
        <v>4444</v>
      </c>
    </row>
    <row r="9" spans="1:16" ht="15.75" hidden="1">
      <c r="A9" s="89" t="s">
        <v>195</v>
      </c>
      <c r="B9" s="94"/>
      <c r="C9" s="94"/>
      <c r="D9" s="94">
        <v>108</v>
      </c>
      <c r="E9" s="94"/>
      <c r="F9" s="94"/>
      <c r="G9" s="94">
        <v>44</v>
      </c>
      <c r="H9" s="94"/>
      <c r="I9" s="94">
        <v>60</v>
      </c>
      <c r="J9" s="94"/>
      <c r="K9" s="94"/>
      <c r="L9" s="94">
        <v>388</v>
      </c>
      <c r="M9" s="94"/>
      <c r="N9" s="94"/>
      <c r="O9" s="94"/>
      <c r="P9" s="92">
        <v>600</v>
      </c>
    </row>
    <row r="10" spans="1:16" ht="15.75" hidden="1">
      <c r="A10" s="89" t="s">
        <v>126</v>
      </c>
      <c r="B10" s="94"/>
      <c r="C10" s="94"/>
      <c r="D10" s="94"/>
      <c r="E10" s="94"/>
      <c r="F10" s="94"/>
      <c r="G10" s="94"/>
      <c r="H10" s="94"/>
      <c r="I10" s="94">
        <v>2929</v>
      </c>
      <c r="J10" s="94"/>
      <c r="K10" s="94"/>
      <c r="L10" s="94">
        <v>400</v>
      </c>
      <c r="M10" s="94"/>
      <c r="N10" s="94"/>
      <c r="O10" s="94"/>
      <c r="P10" s="92">
        <v>3329</v>
      </c>
    </row>
    <row r="11" spans="1:16" ht="15.75" hidden="1">
      <c r="A11" s="89" t="s">
        <v>11</v>
      </c>
      <c r="B11" s="94"/>
      <c r="C11" s="94"/>
      <c r="D11" s="94"/>
      <c r="E11" s="94"/>
      <c r="F11" s="94"/>
      <c r="G11" s="94"/>
      <c r="H11" s="94"/>
      <c r="I11" s="94">
        <v>3266</v>
      </c>
      <c r="J11" s="94"/>
      <c r="K11" s="94"/>
      <c r="L11" s="94"/>
      <c r="M11" s="94"/>
      <c r="N11" s="94"/>
      <c r="O11" s="94"/>
      <c r="P11" s="92">
        <v>3266</v>
      </c>
    </row>
    <row r="12" spans="1:16" ht="15.75" hidden="1">
      <c r="A12" s="89" t="s">
        <v>129</v>
      </c>
      <c r="B12" s="94"/>
      <c r="C12" s="94"/>
      <c r="D12" s="94">
        <v>590</v>
      </c>
      <c r="E12" s="94"/>
      <c r="F12" s="94"/>
      <c r="G12" s="94"/>
      <c r="H12" s="94"/>
      <c r="I12" s="94">
        <v>397</v>
      </c>
      <c r="J12" s="94"/>
      <c r="K12" s="94"/>
      <c r="L12" s="94">
        <v>1173</v>
      </c>
      <c r="M12" s="94"/>
      <c r="N12" s="94"/>
      <c r="O12" s="94"/>
      <c r="P12" s="92">
        <v>2160</v>
      </c>
    </row>
    <row r="13" spans="1:16" ht="15.75" hidden="1">
      <c r="A13" s="89" t="s">
        <v>13</v>
      </c>
      <c r="B13" s="94"/>
      <c r="C13" s="94"/>
      <c r="D13" s="94"/>
      <c r="E13" s="94"/>
      <c r="F13" s="94"/>
      <c r="G13" s="94">
        <v>8</v>
      </c>
      <c r="H13" s="94"/>
      <c r="I13" s="94">
        <v>7097</v>
      </c>
      <c r="J13" s="94"/>
      <c r="K13" s="94"/>
      <c r="L13" s="94">
        <v>2601</v>
      </c>
      <c r="M13" s="94"/>
      <c r="N13" s="94"/>
      <c r="O13" s="94"/>
      <c r="P13" s="92">
        <v>9706</v>
      </c>
    </row>
    <row r="14" spans="1:16" ht="15.75" hidden="1">
      <c r="A14" s="89" t="s">
        <v>877</v>
      </c>
      <c r="B14" s="94"/>
      <c r="C14" s="94"/>
      <c r="D14" s="94">
        <v>100</v>
      </c>
      <c r="E14" s="94">
        <v>32</v>
      </c>
      <c r="F14" s="94"/>
      <c r="G14" s="94">
        <v>50</v>
      </c>
      <c r="H14" s="94"/>
      <c r="I14" s="94">
        <v>24155</v>
      </c>
      <c r="J14" s="94"/>
      <c r="K14" s="94"/>
      <c r="L14" s="94">
        <v>355</v>
      </c>
      <c r="M14" s="94"/>
      <c r="N14" s="94"/>
      <c r="O14" s="94"/>
      <c r="P14" s="92">
        <v>24692</v>
      </c>
    </row>
    <row r="15" spans="1:16" ht="15.75" hidden="1">
      <c r="A15" s="89" t="s">
        <v>16</v>
      </c>
      <c r="B15" s="94"/>
      <c r="C15" s="94"/>
      <c r="D15" s="94">
        <v>12</v>
      </c>
      <c r="E15" s="94"/>
      <c r="F15" s="94"/>
      <c r="G15" s="94"/>
      <c r="H15" s="94"/>
      <c r="I15" s="94">
        <v>970</v>
      </c>
      <c r="J15" s="94"/>
      <c r="K15" s="94"/>
      <c r="L15" s="94"/>
      <c r="M15" s="94"/>
      <c r="N15" s="94"/>
      <c r="O15" s="94"/>
      <c r="P15" s="92">
        <v>982</v>
      </c>
    </row>
    <row r="16" spans="1:16" ht="15.75" hidden="1">
      <c r="A16" s="89" t="s">
        <v>22</v>
      </c>
      <c r="B16" s="94"/>
      <c r="C16" s="94"/>
      <c r="D16" s="94">
        <v>50</v>
      </c>
      <c r="E16" s="94"/>
      <c r="F16" s="94"/>
      <c r="G16" s="94">
        <v>60</v>
      </c>
      <c r="H16" s="94"/>
      <c r="I16" s="94">
        <v>11906</v>
      </c>
      <c r="J16" s="94"/>
      <c r="K16" s="94"/>
      <c r="L16" s="94">
        <v>1300</v>
      </c>
      <c r="M16" s="94"/>
      <c r="N16" s="94"/>
      <c r="O16" s="94"/>
      <c r="P16" s="92">
        <v>13316</v>
      </c>
    </row>
    <row r="17" spans="1:16" ht="15.75" hidden="1">
      <c r="A17" s="89" t="s">
        <v>658</v>
      </c>
      <c r="B17" s="94"/>
      <c r="C17" s="94"/>
      <c r="D17" s="94"/>
      <c r="E17" s="94"/>
      <c r="F17" s="94"/>
      <c r="G17" s="94"/>
      <c r="H17" s="94"/>
      <c r="I17" s="94">
        <v>2500</v>
      </c>
      <c r="J17" s="94"/>
      <c r="K17" s="94"/>
      <c r="L17" s="94"/>
      <c r="M17" s="94"/>
      <c r="N17" s="94"/>
      <c r="O17" s="94"/>
      <c r="P17" s="92">
        <v>2500</v>
      </c>
    </row>
    <row r="18" spans="1:16" ht="15.75" hidden="1">
      <c r="A18" s="89" t="s">
        <v>77</v>
      </c>
      <c r="B18" s="94"/>
      <c r="C18" s="94"/>
      <c r="D18" s="94"/>
      <c r="E18" s="94"/>
      <c r="F18" s="94"/>
      <c r="G18" s="94">
        <v>200</v>
      </c>
      <c r="H18" s="94"/>
      <c r="I18" s="94">
        <v>7500</v>
      </c>
      <c r="J18" s="94"/>
      <c r="K18" s="94"/>
      <c r="L18" s="94">
        <v>1735</v>
      </c>
      <c r="M18" s="94"/>
      <c r="N18" s="94"/>
      <c r="O18" s="94"/>
      <c r="P18" s="92">
        <v>9435</v>
      </c>
    </row>
    <row r="19" spans="1:16" ht="15.75" hidden="1">
      <c r="A19" s="89" t="s">
        <v>34</v>
      </c>
      <c r="B19" s="94">
        <v>325</v>
      </c>
      <c r="C19" s="94"/>
      <c r="D19" s="94">
        <v>594</v>
      </c>
      <c r="E19" s="94">
        <v>121</v>
      </c>
      <c r="F19" s="94"/>
      <c r="G19" s="94"/>
      <c r="H19" s="94"/>
      <c r="I19" s="94"/>
      <c r="J19" s="94"/>
      <c r="K19" s="94"/>
      <c r="L19" s="94">
        <v>1739</v>
      </c>
      <c r="M19" s="94"/>
      <c r="N19" s="94"/>
      <c r="O19" s="94"/>
      <c r="P19" s="92">
        <v>2779</v>
      </c>
    </row>
    <row r="20" spans="1:16" ht="15.75" hidden="1">
      <c r="A20" s="89" t="s">
        <v>39</v>
      </c>
      <c r="B20" s="94"/>
      <c r="C20" s="94"/>
      <c r="D20" s="94"/>
      <c r="E20" s="94"/>
      <c r="F20" s="94"/>
      <c r="G20" s="94"/>
      <c r="H20" s="94"/>
      <c r="I20" s="94">
        <v>2632</v>
      </c>
      <c r="J20" s="94"/>
      <c r="K20" s="94"/>
      <c r="L20" s="94">
        <v>403</v>
      </c>
      <c r="M20" s="94"/>
      <c r="N20" s="94"/>
      <c r="O20" s="94"/>
      <c r="P20" s="92">
        <v>3035</v>
      </c>
    </row>
    <row r="21" spans="1:16" ht="15.75" hidden="1">
      <c r="A21" s="89" t="s">
        <v>882</v>
      </c>
      <c r="B21" s="94"/>
      <c r="C21" s="94"/>
      <c r="D21" s="94"/>
      <c r="E21" s="94"/>
      <c r="F21" s="94"/>
      <c r="G21" s="94"/>
      <c r="H21" s="94"/>
      <c r="I21" s="94">
        <v>17895</v>
      </c>
      <c r="J21" s="94"/>
      <c r="K21" s="94"/>
      <c r="L21" s="94"/>
      <c r="M21" s="94"/>
      <c r="N21" s="94"/>
      <c r="O21" s="94"/>
      <c r="P21" s="92">
        <v>17895</v>
      </c>
    </row>
    <row r="22" spans="1:16" ht="15.75" hidden="1">
      <c r="A22" s="89" t="s">
        <v>310</v>
      </c>
      <c r="B22" s="94"/>
      <c r="C22" s="94"/>
      <c r="D22" s="94"/>
      <c r="E22" s="94"/>
      <c r="F22" s="94"/>
      <c r="G22" s="94"/>
      <c r="H22" s="94"/>
      <c r="I22" s="94">
        <v>4624</v>
      </c>
      <c r="J22" s="94"/>
      <c r="K22" s="94"/>
      <c r="L22" s="94"/>
      <c r="M22" s="94"/>
      <c r="N22" s="94"/>
      <c r="O22" s="94"/>
      <c r="P22" s="92">
        <v>4624</v>
      </c>
    </row>
    <row r="23" spans="1:16" ht="15.75" hidden="1">
      <c r="A23" s="89" t="s">
        <v>889</v>
      </c>
      <c r="B23" s="94"/>
      <c r="C23" s="94"/>
      <c r="D23" s="94">
        <v>400</v>
      </c>
      <c r="E23" s="94"/>
      <c r="F23" s="94"/>
      <c r="G23" s="94">
        <v>20</v>
      </c>
      <c r="H23" s="94"/>
      <c r="I23" s="94">
        <v>166</v>
      </c>
      <c r="J23" s="94">
        <v>275</v>
      </c>
      <c r="K23" s="94"/>
      <c r="L23" s="94">
        <v>315</v>
      </c>
      <c r="M23" s="94"/>
      <c r="N23" s="94"/>
      <c r="O23" s="94"/>
      <c r="P23" s="92">
        <v>1176</v>
      </c>
    </row>
    <row r="24" spans="1:16" ht="15.75" hidden="1">
      <c r="A24" s="89" t="s">
        <v>893</v>
      </c>
      <c r="B24" s="94"/>
      <c r="C24" s="94"/>
      <c r="D24" s="94">
        <v>3</v>
      </c>
      <c r="E24" s="94"/>
      <c r="F24" s="94"/>
      <c r="G24" s="94"/>
      <c r="H24" s="94"/>
      <c r="I24" s="94">
        <v>750</v>
      </c>
      <c r="J24" s="94"/>
      <c r="K24" s="94"/>
      <c r="L24" s="94">
        <v>1135</v>
      </c>
      <c r="M24" s="94"/>
      <c r="N24" s="94"/>
      <c r="O24" s="94"/>
      <c r="P24" s="92">
        <v>1888</v>
      </c>
    </row>
    <row r="25" spans="1:16" ht="15.75" hidden="1">
      <c r="A25" s="89" t="s">
        <v>92</v>
      </c>
      <c r="B25" s="94"/>
      <c r="C25" s="94"/>
      <c r="D25" s="94">
        <v>12</v>
      </c>
      <c r="E25" s="94"/>
      <c r="F25" s="94"/>
      <c r="G25" s="94"/>
      <c r="H25" s="94"/>
      <c r="I25" s="94">
        <v>6833</v>
      </c>
      <c r="J25" s="94"/>
      <c r="K25" s="94"/>
      <c r="L25" s="94"/>
      <c r="M25" s="94"/>
      <c r="N25" s="94"/>
      <c r="O25" s="94"/>
      <c r="P25" s="92">
        <v>6845</v>
      </c>
    </row>
    <row r="26" spans="1:16" ht="15.75" hidden="1">
      <c r="A26" s="89" t="s">
        <v>41</v>
      </c>
      <c r="B26" s="94"/>
      <c r="C26" s="94"/>
      <c r="D26" s="94"/>
      <c r="E26" s="94">
        <v>584</v>
      </c>
      <c r="F26" s="94"/>
      <c r="G26" s="94">
        <v>35</v>
      </c>
      <c r="H26" s="94"/>
      <c r="I26" s="94">
        <v>75</v>
      </c>
      <c r="J26" s="94"/>
      <c r="K26" s="94"/>
      <c r="L26" s="94">
        <v>205</v>
      </c>
      <c r="M26" s="94"/>
      <c r="N26" s="94"/>
      <c r="O26" s="94"/>
      <c r="P26" s="92">
        <v>899</v>
      </c>
    </row>
    <row r="27" spans="1:16" ht="15.75" hidden="1">
      <c r="A27" s="89" t="s">
        <v>366</v>
      </c>
      <c r="B27" s="94"/>
      <c r="C27" s="94"/>
      <c r="D27" s="94">
        <v>240</v>
      </c>
      <c r="E27" s="94"/>
      <c r="F27" s="94"/>
      <c r="G27" s="94"/>
      <c r="H27" s="94"/>
      <c r="I27" s="94">
        <v>1867</v>
      </c>
      <c r="J27" s="94"/>
      <c r="K27" s="94"/>
      <c r="L27" s="94">
        <v>369</v>
      </c>
      <c r="M27" s="94"/>
      <c r="N27" s="94"/>
      <c r="O27" s="94"/>
      <c r="P27" s="92">
        <v>2476</v>
      </c>
    </row>
    <row r="28" spans="1:16" ht="15.75" hidden="1">
      <c r="A28" s="89" t="s">
        <v>48</v>
      </c>
      <c r="B28" s="94"/>
      <c r="C28" s="94"/>
      <c r="D28" s="94"/>
      <c r="E28" s="94"/>
      <c r="F28" s="94"/>
      <c r="G28" s="94"/>
      <c r="H28" s="94"/>
      <c r="I28" s="94"/>
      <c r="J28" s="94"/>
      <c r="K28" s="94"/>
      <c r="L28" s="94"/>
      <c r="M28" s="94"/>
      <c r="N28" s="94"/>
      <c r="O28" s="94"/>
      <c r="P28" s="92"/>
    </row>
    <row r="29" spans="1:16" ht="15.75" hidden="1">
      <c r="A29" s="89" t="s">
        <v>899</v>
      </c>
      <c r="B29" s="94">
        <v>200</v>
      </c>
      <c r="C29" s="94"/>
      <c r="D29" s="94">
        <v>666</v>
      </c>
      <c r="E29" s="94"/>
      <c r="F29" s="94"/>
      <c r="G29" s="94"/>
      <c r="H29" s="94"/>
      <c r="I29" s="94">
        <v>6433</v>
      </c>
      <c r="J29" s="94"/>
      <c r="K29" s="94"/>
      <c r="L29" s="94"/>
      <c r="M29" s="94"/>
      <c r="N29" s="94"/>
      <c r="O29" s="94"/>
      <c r="P29" s="92">
        <v>7299</v>
      </c>
    </row>
    <row r="30" spans="1:16" ht="15.75" hidden="1">
      <c r="A30" s="89" t="s">
        <v>904</v>
      </c>
      <c r="B30" s="94"/>
      <c r="C30" s="94"/>
      <c r="D30" s="94"/>
      <c r="E30" s="94"/>
      <c r="F30" s="94"/>
      <c r="G30" s="94"/>
      <c r="H30" s="94"/>
      <c r="I30" s="94">
        <v>45885</v>
      </c>
      <c r="J30" s="94"/>
      <c r="K30" s="94">
        <v>1260</v>
      </c>
      <c r="L30" s="94">
        <v>1785</v>
      </c>
      <c r="M30" s="94"/>
      <c r="N30" s="94"/>
      <c r="O30" s="94"/>
      <c r="P30" s="92">
        <v>48930</v>
      </c>
    </row>
    <row r="31" spans="1:16" ht="15.75" hidden="1">
      <c r="A31" s="89" t="s">
        <v>100</v>
      </c>
      <c r="B31" s="94">
        <v>900</v>
      </c>
      <c r="C31" s="94"/>
      <c r="D31" s="94">
        <v>265</v>
      </c>
      <c r="E31" s="94"/>
      <c r="F31" s="94"/>
      <c r="G31" s="94"/>
      <c r="H31" s="94"/>
      <c r="I31" s="94">
        <v>6212</v>
      </c>
      <c r="J31" s="94"/>
      <c r="K31" s="94"/>
      <c r="L31" s="94">
        <v>298</v>
      </c>
      <c r="M31" s="94"/>
      <c r="N31" s="94">
        <v>1687</v>
      </c>
      <c r="O31" s="94"/>
      <c r="P31" s="92">
        <v>9362</v>
      </c>
    </row>
    <row r="32" spans="1:16" ht="15.75" hidden="1">
      <c r="A32" s="89" t="s">
        <v>49</v>
      </c>
      <c r="B32" s="94"/>
      <c r="C32" s="94"/>
      <c r="D32" s="94">
        <v>530</v>
      </c>
      <c r="E32" s="94">
        <v>1000</v>
      </c>
      <c r="F32" s="94"/>
      <c r="G32" s="94">
        <v>295</v>
      </c>
      <c r="H32" s="94"/>
      <c r="I32" s="94">
        <v>3654</v>
      </c>
      <c r="J32" s="94">
        <v>100</v>
      </c>
      <c r="K32" s="94">
        <v>79</v>
      </c>
      <c r="L32" s="94">
        <v>950</v>
      </c>
      <c r="M32" s="94"/>
      <c r="N32" s="94"/>
      <c r="O32" s="94"/>
      <c r="P32" s="92">
        <v>6608</v>
      </c>
    </row>
    <row r="33" spans="1:16" ht="15.75" hidden="1">
      <c r="A33" s="89" t="s">
        <v>574</v>
      </c>
      <c r="B33" s="94"/>
      <c r="C33" s="94"/>
      <c r="D33" s="94"/>
      <c r="E33" s="94"/>
      <c r="F33" s="94"/>
      <c r="G33" s="94"/>
      <c r="H33" s="94"/>
      <c r="I33" s="94">
        <v>210</v>
      </c>
      <c r="J33" s="94"/>
      <c r="K33" s="94"/>
      <c r="L33" s="94"/>
      <c r="M33" s="94"/>
      <c r="N33" s="94"/>
      <c r="O33" s="94"/>
      <c r="P33" s="92">
        <v>210</v>
      </c>
    </row>
    <row r="34" spans="1:16" ht="16.5" hidden="1" thickBot="1">
      <c r="A34" s="86" t="s">
        <v>488</v>
      </c>
      <c r="B34" s="95"/>
      <c r="C34" s="95"/>
      <c r="D34" s="95"/>
      <c r="E34" s="95"/>
      <c r="F34" s="95"/>
      <c r="G34" s="95"/>
      <c r="H34" s="95"/>
      <c r="I34" s="95">
        <v>3903</v>
      </c>
      <c r="J34" s="95"/>
      <c r="K34" s="95"/>
      <c r="L34" s="95"/>
      <c r="M34" s="95"/>
      <c r="N34" s="95"/>
      <c r="O34" s="95"/>
      <c r="P34" s="93">
        <v>3903</v>
      </c>
    </row>
    <row r="35" spans="1:16" ht="19.5" thickBot="1" thickTop="1">
      <c r="A35" s="97" t="s">
        <v>701</v>
      </c>
      <c r="B35" s="96">
        <v>3066</v>
      </c>
      <c r="C35" s="96"/>
      <c r="D35" s="96">
        <v>5604</v>
      </c>
      <c r="E35" s="96">
        <v>1737</v>
      </c>
      <c r="F35" s="96"/>
      <c r="G35" s="96">
        <v>712</v>
      </c>
      <c r="H35" s="96"/>
      <c r="I35" s="96">
        <v>219399</v>
      </c>
      <c r="J35" s="96">
        <v>375</v>
      </c>
      <c r="K35" s="96">
        <v>1459</v>
      </c>
      <c r="L35" s="96">
        <v>16318</v>
      </c>
      <c r="M35" s="96">
        <v>1248</v>
      </c>
      <c r="N35" s="96">
        <v>4809</v>
      </c>
      <c r="O35" s="96"/>
      <c r="P35" s="98">
        <v>254727</v>
      </c>
    </row>
    <row r="36" ht="13.5" thickTop="1"/>
  </sheetData>
  <printOptions/>
  <pageMargins left="1.15" right="0.75" top="1.57" bottom="1.02" header="0.9055118110236221" footer="0.6692913385826772"/>
  <pageSetup horizontalDpi="600" verticalDpi="600" orientation="landscape" scale="73" r:id="rId2"/>
  <headerFooter alignWithMargins="0">
    <oddHeader>&amp;C&amp;"Arial,Negrita"&amp;16PERSONAS AFECTADAS POR TIPO DE EVENTO DURANTE 1998</oddHeader>
    <oddFooter>&amp;L&amp;8GRUPO DE APOYO A EMERGENCIAS Y TELECOMUNICACIONES. &amp;D</oddFooter>
  </headerFooter>
  <drawing r:id="rId1"/>
</worksheet>
</file>

<file path=xl/worksheets/sheet2.xml><?xml version="1.0" encoding="utf-8"?>
<worksheet xmlns="http://schemas.openxmlformats.org/spreadsheetml/2006/main" xmlns:r="http://schemas.openxmlformats.org/officeDocument/2006/relationships">
  <dimension ref="A1:O35"/>
  <sheetViews>
    <sheetView workbookViewId="0" topLeftCell="I1">
      <selection activeCell="J16" sqref="J16"/>
    </sheetView>
  </sheetViews>
  <sheetFormatPr defaultColWidth="11.421875" defaultRowHeight="12.75"/>
  <cols>
    <col min="1" max="1" width="22.140625" style="0" customWidth="1"/>
    <col min="2" max="2" width="14.8515625" style="0" customWidth="1"/>
    <col min="3" max="3" width="16.7109375" style="0" hidden="1" customWidth="1"/>
    <col min="4" max="4" width="18.7109375" style="0" customWidth="1"/>
    <col min="5" max="5" width="9.8515625" style="0" hidden="1" customWidth="1"/>
    <col min="6" max="6" width="17.8515625" style="0" hidden="1" customWidth="1"/>
    <col min="7" max="7" width="21.421875" style="0" customWidth="1"/>
    <col min="8" max="8" width="14.57421875" style="0" hidden="1" customWidth="1"/>
    <col min="9" max="9" width="16.00390625" style="0" customWidth="1"/>
    <col min="10" max="10" width="15.00390625" style="0" customWidth="1"/>
    <col min="11" max="11" width="8.00390625" style="0" hidden="1" customWidth="1"/>
    <col min="12" max="12" width="16.140625" style="0" customWidth="1"/>
    <col min="13" max="13" width="14.57421875" style="0" hidden="1" customWidth="1"/>
    <col min="14" max="14" width="11.8515625" style="0" customWidth="1"/>
    <col min="15" max="15" width="14.421875" style="0" bestFit="1" customWidth="1"/>
  </cols>
  <sheetData>
    <row r="1" spans="1:15" ht="15">
      <c r="A1" s="147" t="s">
        <v>703</v>
      </c>
      <c r="B1" s="81" t="s">
        <v>817</v>
      </c>
      <c r="C1" s="73"/>
      <c r="D1" s="73"/>
      <c r="E1" s="73"/>
      <c r="F1" s="73"/>
      <c r="G1" s="73"/>
      <c r="H1" s="73"/>
      <c r="I1" s="73"/>
      <c r="J1" s="73"/>
      <c r="K1" s="73"/>
      <c r="L1" s="73"/>
      <c r="M1" s="73"/>
      <c r="N1" s="73"/>
      <c r="O1" s="74"/>
    </row>
    <row r="2" spans="1:15" ht="15">
      <c r="A2" s="81" t="s">
        <v>815</v>
      </c>
      <c r="B2" s="88" t="s">
        <v>107</v>
      </c>
      <c r="C2" s="88" t="s">
        <v>82</v>
      </c>
      <c r="D2" s="88" t="s">
        <v>891</v>
      </c>
      <c r="E2" s="88" t="s">
        <v>36</v>
      </c>
      <c r="F2" s="88" t="s">
        <v>114</v>
      </c>
      <c r="G2" s="88" t="s">
        <v>879</v>
      </c>
      <c r="H2" s="88" t="s">
        <v>872</v>
      </c>
      <c r="I2" s="88" t="s">
        <v>821</v>
      </c>
      <c r="J2" s="88" t="s">
        <v>25</v>
      </c>
      <c r="K2" s="88" t="s">
        <v>884</v>
      </c>
      <c r="L2" s="88" t="s">
        <v>911</v>
      </c>
      <c r="M2" s="88" t="s">
        <v>707</v>
      </c>
      <c r="N2" s="88" t="s">
        <v>875</v>
      </c>
      <c r="O2" s="88" t="s">
        <v>701</v>
      </c>
    </row>
    <row r="3" spans="1:15" ht="15">
      <c r="A3" s="89" t="s">
        <v>172</v>
      </c>
      <c r="B3" s="88"/>
      <c r="C3" s="88"/>
      <c r="D3" s="88"/>
      <c r="E3" s="88"/>
      <c r="F3" s="88"/>
      <c r="G3" s="88"/>
      <c r="H3" s="88"/>
      <c r="I3" s="88"/>
      <c r="J3" s="88"/>
      <c r="K3" s="88"/>
      <c r="L3" s="88"/>
      <c r="M3" s="88"/>
      <c r="N3" s="88"/>
      <c r="O3" s="88"/>
    </row>
    <row r="4" spans="1:15" ht="15">
      <c r="A4" s="89" t="s">
        <v>820</v>
      </c>
      <c r="B4" s="88"/>
      <c r="C4" s="88"/>
      <c r="D4" s="88">
        <v>10</v>
      </c>
      <c r="E4" s="88"/>
      <c r="F4" s="88"/>
      <c r="G4" s="88"/>
      <c r="H4" s="88"/>
      <c r="I4" s="88">
        <v>47</v>
      </c>
      <c r="J4" s="88"/>
      <c r="K4" s="88"/>
      <c r="L4" s="88">
        <v>1</v>
      </c>
      <c r="M4" s="88">
        <v>4</v>
      </c>
      <c r="N4" s="88"/>
      <c r="O4" s="88">
        <v>62</v>
      </c>
    </row>
    <row r="5" spans="1:15" ht="15">
      <c r="A5" s="89" t="s">
        <v>432</v>
      </c>
      <c r="B5" s="88"/>
      <c r="C5" s="88"/>
      <c r="D5" s="88"/>
      <c r="E5" s="88"/>
      <c r="F5" s="88"/>
      <c r="G5" s="88"/>
      <c r="H5" s="88"/>
      <c r="I5" s="88">
        <v>10</v>
      </c>
      <c r="J5" s="88"/>
      <c r="K5" s="88"/>
      <c r="L5" s="88">
        <v>2</v>
      </c>
      <c r="M5" s="88"/>
      <c r="N5" s="88"/>
      <c r="O5" s="88">
        <v>12</v>
      </c>
    </row>
    <row r="6" spans="1:15" ht="15">
      <c r="A6" s="89" t="s">
        <v>203</v>
      </c>
      <c r="B6" s="88"/>
      <c r="C6" s="88"/>
      <c r="D6" s="88"/>
      <c r="E6" s="88"/>
      <c r="F6" s="88"/>
      <c r="G6" s="88"/>
      <c r="H6" s="88"/>
      <c r="I6" s="88">
        <v>277</v>
      </c>
      <c r="J6" s="88"/>
      <c r="K6" s="88"/>
      <c r="L6" s="88"/>
      <c r="M6" s="88"/>
      <c r="N6" s="88">
        <v>252</v>
      </c>
      <c r="O6" s="88">
        <v>529</v>
      </c>
    </row>
    <row r="7" spans="1:15" ht="15">
      <c r="A7" s="89" t="s">
        <v>59</v>
      </c>
      <c r="B7" s="88"/>
      <c r="C7" s="88"/>
      <c r="D7" s="88"/>
      <c r="E7" s="88"/>
      <c r="F7" s="88"/>
      <c r="G7" s="88"/>
      <c r="H7" s="88"/>
      <c r="I7" s="88">
        <v>54</v>
      </c>
      <c r="J7" s="88"/>
      <c r="K7" s="88"/>
      <c r="L7" s="88"/>
      <c r="M7" s="88"/>
      <c r="N7" s="88"/>
      <c r="O7" s="88">
        <v>54</v>
      </c>
    </row>
    <row r="8" spans="1:15" ht="15">
      <c r="A8" s="89" t="s">
        <v>829</v>
      </c>
      <c r="B8" s="88">
        <v>3</v>
      </c>
      <c r="C8" s="88"/>
      <c r="D8" s="88">
        <v>9</v>
      </c>
      <c r="E8" s="88"/>
      <c r="F8" s="88"/>
      <c r="G8" s="88"/>
      <c r="H8" s="88"/>
      <c r="I8" s="88">
        <v>17</v>
      </c>
      <c r="J8" s="88"/>
      <c r="K8" s="88"/>
      <c r="L8" s="88"/>
      <c r="M8" s="88"/>
      <c r="N8" s="88">
        <v>2</v>
      </c>
      <c r="O8" s="88">
        <v>31</v>
      </c>
    </row>
    <row r="9" spans="1:15" ht="15" hidden="1">
      <c r="A9" s="89" t="s">
        <v>195</v>
      </c>
      <c r="B9" s="88"/>
      <c r="C9" s="88"/>
      <c r="D9" s="88"/>
      <c r="E9" s="88"/>
      <c r="F9" s="88"/>
      <c r="G9" s="88"/>
      <c r="H9" s="88"/>
      <c r="I9" s="88"/>
      <c r="J9" s="88"/>
      <c r="K9" s="88"/>
      <c r="L9" s="88"/>
      <c r="M9" s="88"/>
      <c r="N9" s="88"/>
      <c r="O9" s="88"/>
    </row>
    <row r="10" spans="1:15" ht="15" hidden="1">
      <c r="A10" s="89" t="s">
        <v>126</v>
      </c>
      <c r="B10" s="88"/>
      <c r="C10" s="88"/>
      <c r="D10" s="88"/>
      <c r="E10" s="88"/>
      <c r="F10" s="88"/>
      <c r="G10" s="88"/>
      <c r="H10" s="88"/>
      <c r="I10" s="88"/>
      <c r="J10" s="88"/>
      <c r="K10" s="88"/>
      <c r="L10" s="88"/>
      <c r="M10" s="88"/>
      <c r="N10" s="88"/>
      <c r="O10" s="88"/>
    </row>
    <row r="11" spans="1:15" ht="15">
      <c r="A11" s="89" t="s">
        <v>11</v>
      </c>
      <c r="B11" s="88"/>
      <c r="C11" s="88"/>
      <c r="D11" s="88"/>
      <c r="E11" s="88"/>
      <c r="F11" s="88"/>
      <c r="G11" s="88"/>
      <c r="H11" s="88"/>
      <c r="I11" s="88">
        <v>121</v>
      </c>
      <c r="J11" s="88"/>
      <c r="K11" s="88"/>
      <c r="L11" s="88"/>
      <c r="M11" s="88"/>
      <c r="N11" s="88"/>
      <c r="O11" s="88">
        <v>121</v>
      </c>
    </row>
    <row r="12" spans="1:15" ht="15">
      <c r="A12" s="89" t="s">
        <v>129</v>
      </c>
      <c r="B12" s="88"/>
      <c r="C12" s="88"/>
      <c r="D12" s="88"/>
      <c r="E12" s="88"/>
      <c r="F12" s="88"/>
      <c r="G12" s="88"/>
      <c r="H12" s="88"/>
      <c r="I12" s="88">
        <v>3</v>
      </c>
      <c r="J12" s="88"/>
      <c r="K12" s="88"/>
      <c r="L12" s="88">
        <v>5</v>
      </c>
      <c r="M12" s="88"/>
      <c r="N12" s="88"/>
      <c r="O12" s="88">
        <v>8</v>
      </c>
    </row>
    <row r="13" spans="1:15" ht="15">
      <c r="A13" s="89" t="s">
        <v>13</v>
      </c>
      <c r="B13" s="88"/>
      <c r="C13" s="88"/>
      <c r="D13" s="88"/>
      <c r="E13" s="88"/>
      <c r="F13" s="88"/>
      <c r="G13" s="88">
        <v>1</v>
      </c>
      <c r="H13" s="88"/>
      <c r="I13" s="88"/>
      <c r="J13" s="88"/>
      <c r="K13" s="88"/>
      <c r="L13" s="88"/>
      <c r="M13" s="88"/>
      <c r="N13" s="88"/>
      <c r="O13" s="88">
        <v>1</v>
      </c>
    </row>
    <row r="14" spans="1:15" ht="15">
      <c r="A14" s="89" t="s">
        <v>877</v>
      </c>
      <c r="B14" s="88"/>
      <c r="C14" s="88"/>
      <c r="D14" s="88"/>
      <c r="E14" s="88"/>
      <c r="F14" s="88"/>
      <c r="G14" s="88">
        <v>9</v>
      </c>
      <c r="H14" s="88"/>
      <c r="I14" s="88">
        <v>38</v>
      </c>
      <c r="J14" s="88"/>
      <c r="K14" s="88"/>
      <c r="L14" s="88">
        <v>15</v>
      </c>
      <c r="M14" s="88"/>
      <c r="N14" s="88"/>
      <c r="O14" s="88">
        <v>62</v>
      </c>
    </row>
    <row r="15" spans="1:15" ht="15">
      <c r="A15" s="89" t="s">
        <v>16</v>
      </c>
      <c r="B15" s="88"/>
      <c r="C15" s="88"/>
      <c r="D15" s="88"/>
      <c r="E15" s="88"/>
      <c r="F15" s="88"/>
      <c r="G15" s="88"/>
      <c r="H15" s="88"/>
      <c r="I15" s="88">
        <v>5</v>
      </c>
      <c r="J15" s="88"/>
      <c r="K15" s="88"/>
      <c r="L15" s="88"/>
      <c r="M15" s="88"/>
      <c r="N15" s="88"/>
      <c r="O15" s="88">
        <v>5</v>
      </c>
    </row>
    <row r="16" spans="1:15" ht="15">
      <c r="A16" s="89" t="s">
        <v>22</v>
      </c>
      <c r="B16" s="88"/>
      <c r="C16" s="88"/>
      <c r="D16" s="88">
        <v>6</v>
      </c>
      <c r="E16" s="88"/>
      <c r="F16" s="88"/>
      <c r="G16" s="88">
        <v>10</v>
      </c>
      <c r="H16" s="88"/>
      <c r="I16" s="88">
        <v>103</v>
      </c>
      <c r="J16" s="88"/>
      <c r="K16" s="88"/>
      <c r="L16" s="88">
        <v>31</v>
      </c>
      <c r="M16" s="88"/>
      <c r="N16" s="88"/>
      <c r="O16" s="88">
        <v>150</v>
      </c>
    </row>
    <row r="17" spans="1:15" ht="15" hidden="1">
      <c r="A17" s="89" t="s">
        <v>658</v>
      </c>
      <c r="B17" s="88"/>
      <c r="C17" s="88"/>
      <c r="D17" s="88"/>
      <c r="E17" s="88"/>
      <c r="F17" s="88"/>
      <c r="G17" s="88"/>
      <c r="H17" s="88"/>
      <c r="I17" s="88"/>
      <c r="J17" s="88"/>
      <c r="K17" s="88"/>
      <c r="L17" s="88"/>
      <c r="M17" s="88"/>
      <c r="N17" s="88"/>
      <c r="O17" s="88"/>
    </row>
    <row r="18" spans="1:15" ht="15" hidden="1">
      <c r="A18" s="89" t="s">
        <v>77</v>
      </c>
      <c r="B18" s="88"/>
      <c r="C18" s="88"/>
      <c r="D18" s="88"/>
      <c r="E18" s="88"/>
      <c r="F18" s="88"/>
      <c r="G18" s="88">
        <v>40</v>
      </c>
      <c r="H18" s="88"/>
      <c r="I18" s="88"/>
      <c r="J18" s="88"/>
      <c r="K18" s="88"/>
      <c r="L18" s="88">
        <v>13</v>
      </c>
      <c r="M18" s="88"/>
      <c r="N18" s="88"/>
      <c r="O18" s="88">
        <v>53</v>
      </c>
    </row>
    <row r="19" spans="1:15" ht="15">
      <c r="A19" s="89" t="s">
        <v>34</v>
      </c>
      <c r="B19" s="88"/>
      <c r="C19" s="88"/>
      <c r="D19" s="88">
        <v>2</v>
      </c>
      <c r="E19" s="88"/>
      <c r="F19" s="88"/>
      <c r="G19" s="88"/>
      <c r="H19" s="88"/>
      <c r="I19" s="88"/>
      <c r="J19" s="88"/>
      <c r="K19" s="88"/>
      <c r="L19" s="88">
        <v>6</v>
      </c>
      <c r="M19" s="88"/>
      <c r="N19" s="88"/>
      <c r="O19" s="88">
        <v>8</v>
      </c>
    </row>
    <row r="20" spans="1:15" ht="15">
      <c r="A20" s="89" t="s">
        <v>39</v>
      </c>
      <c r="B20" s="88"/>
      <c r="C20" s="88"/>
      <c r="D20" s="88"/>
      <c r="E20" s="88"/>
      <c r="F20" s="88"/>
      <c r="G20" s="88"/>
      <c r="H20" s="88"/>
      <c r="I20" s="88"/>
      <c r="J20" s="88"/>
      <c r="K20" s="88"/>
      <c r="L20" s="88"/>
      <c r="M20" s="88"/>
      <c r="N20" s="88"/>
      <c r="O20" s="88"/>
    </row>
    <row r="21" spans="1:15" ht="15">
      <c r="A21" s="89" t="s">
        <v>882</v>
      </c>
      <c r="B21" s="88"/>
      <c r="C21" s="88"/>
      <c r="D21" s="88"/>
      <c r="E21" s="88"/>
      <c r="F21" s="88"/>
      <c r="G21" s="88"/>
      <c r="H21" s="88"/>
      <c r="I21" s="88">
        <v>74</v>
      </c>
      <c r="J21" s="88"/>
      <c r="K21" s="88"/>
      <c r="L21" s="88"/>
      <c r="M21" s="88"/>
      <c r="N21" s="88"/>
      <c r="O21" s="88">
        <v>74</v>
      </c>
    </row>
    <row r="22" spans="1:15" ht="15">
      <c r="A22" s="89" t="s">
        <v>310</v>
      </c>
      <c r="B22" s="88"/>
      <c r="C22" s="88"/>
      <c r="D22" s="88"/>
      <c r="E22" s="88"/>
      <c r="F22" s="88"/>
      <c r="G22" s="88"/>
      <c r="H22" s="88"/>
      <c r="I22" s="88">
        <v>17</v>
      </c>
      <c r="J22" s="88"/>
      <c r="K22" s="88"/>
      <c r="L22" s="88"/>
      <c r="M22" s="88"/>
      <c r="N22" s="88"/>
      <c r="O22" s="88">
        <v>17</v>
      </c>
    </row>
    <row r="23" spans="1:15" ht="15">
      <c r="A23" s="89" t="s">
        <v>889</v>
      </c>
      <c r="B23" s="88"/>
      <c r="C23" s="88"/>
      <c r="D23" s="88">
        <v>25</v>
      </c>
      <c r="E23" s="88"/>
      <c r="F23" s="88"/>
      <c r="G23" s="88">
        <v>4</v>
      </c>
      <c r="H23" s="88"/>
      <c r="I23" s="88"/>
      <c r="J23" s="88">
        <v>25</v>
      </c>
      <c r="K23" s="88"/>
      <c r="L23" s="88"/>
      <c r="M23" s="88"/>
      <c r="N23" s="88"/>
      <c r="O23" s="88">
        <v>54</v>
      </c>
    </row>
    <row r="24" spans="1:15" ht="15">
      <c r="A24" s="89" t="s">
        <v>893</v>
      </c>
      <c r="B24" s="88"/>
      <c r="C24" s="88"/>
      <c r="D24" s="88">
        <v>1</v>
      </c>
      <c r="E24" s="88"/>
      <c r="F24" s="88"/>
      <c r="G24" s="88"/>
      <c r="H24" s="88"/>
      <c r="I24" s="88">
        <v>2</v>
      </c>
      <c r="J24" s="88"/>
      <c r="K24" s="88"/>
      <c r="L24" s="88"/>
      <c r="M24" s="88"/>
      <c r="N24" s="88"/>
      <c r="O24" s="88">
        <v>3</v>
      </c>
    </row>
    <row r="25" spans="1:15" ht="15">
      <c r="A25" s="89" t="s">
        <v>92</v>
      </c>
      <c r="B25" s="88"/>
      <c r="C25" s="88"/>
      <c r="D25" s="88"/>
      <c r="E25" s="88"/>
      <c r="F25" s="88"/>
      <c r="G25" s="88"/>
      <c r="H25" s="88"/>
      <c r="I25" s="88"/>
      <c r="J25" s="88"/>
      <c r="K25" s="88"/>
      <c r="L25" s="88"/>
      <c r="M25" s="88"/>
      <c r="N25" s="88"/>
      <c r="O25" s="88"/>
    </row>
    <row r="26" spans="1:15" ht="15">
      <c r="A26" s="89" t="s">
        <v>41</v>
      </c>
      <c r="B26" s="88"/>
      <c r="C26" s="88"/>
      <c r="D26" s="88"/>
      <c r="E26" s="88"/>
      <c r="F26" s="88"/>
      <c r="G26" s="88">
        <v>7</v>
      </c>
      <c r="H26" s="88"/>
      <c r="I26" s="88">
        <v>5</v>
      </c>
      <c r="J26" s="88"/>
      <c r="K26" s="88"/>
      <c r="L26" s="88">
        <v>48</v>
      </c>
      <c r="M26" s="88"/>
      <c r="N26" s="88"/>
      <c r="O26" s="88">
        <v>60</v>
      </c>
    </row>
    <row r="27" spans="1:15" ht="15">
      <c r="A27" s="89" t="s">
        <v>366</v>
      </c>
      <c r="B27" s="88"/>
      <c r="C27" s="88"/>
      <c r="D27" s="88"/>
      <c r="E27" s="88"/>
      <c r="F27" s="88"/>
      <c r="G27" s="88"/>
      <c r="H27" s="88"/>
      <c r="I27" s="88">
        <v>3</v>
      </c>
      <c r="J27" s="88"/>
      <c r="K27" s="88"/>
      <c r="L27" s="88"/>
      <c r="M27" s="88"/>
      <c r="N27" s="88"/>
      <c r="O27" s="88">
        <v>3</v>
      </c>
    </row>
    <row r="28" spans="1:15" ht="15">
      <c r="A28" s="89" t="s">
        <v>48</v>
      </c>
      <c r="B28" s="88"/>
      <c r="C28" s="88"/>
      <c r="D28" s="88"/>
      <c r="E28" s="88"/>
      <c r="F28" s="88"/>
      <c r="G28" s="88"/>
      <c r="H28" s="88"/>
      <c r="I28" s="88"/>
      <c r="J28" s="88"/>
      <c r="K28" s="88"/>
      <c r="L28" s="88"/>
      <c r="M28" s="88"/>
      <c r="N28" s="88"/>
      <c r="O28" s="88"/>
    </row>
    <row r="29" spans="1:15" ht="15">
      <c r="A29" s="89" t="s">
        <v>899</v>
      </c>
      <c r="B29" s="88">
        <v>3</v>
      </c>
      <c r="C29" s="88"/>
      <c r="D29" s="88">
        <v>74</v>
      </c>
      <c r="E29" s="88"/>
      <c r="F29" s="88"/>
      <c r="G29" s="88"/>
      <c r="H29" s="88"/>
      <c r="I29" s="88">
        <v>16</v>
      </c>
      <c r="J29" s="88"/>
      <c r="K29" s="88"/>
      <c r="L29" s="88"/>
      <c r="M29" s="88"/>
      <c r="N29" s="88"/>
      <c r="O29" s="88">
        <v>93</v>
      </c>
    </row>
    <row r="30" spans="1:15" ht="15">
      <c r="A30" s="89" t="s">
        <v>904</v>
      </c>
      <c r="B30" s="88"/>
      <c r="C30" s="88"/>
      <c r="D30" s="88"/>
      <c r="E30" s="88"/>
      <c r="F30" s="88"/>
      <c r="G30" s="88"/>
      <c r="H30" s="88"/>
      <c r="I30" s="88"/>
      <c r="J30" s="88"/>
      <c r="K30" s="88"/>
      <c r="L30" s="88"/>
      <c r="M30" s="88"/>
      <c r="N30" s="88"/>
      <c r="O30" s="88"/>
    </row>
    <row r="31" spans="1:15" ht="15" hidden="1">
      <c r="A31" s="89" t="s">
        <v>100</v>
      </c>
      <c r="B31" s="88">
        <v>7</v>
      </c>
      <c r="C31" s="88"/>
      <c r="D31" s="88">
        <v>8</v>
      </c>
      <c r="E31" s="88"/>
      <c r="F31" s="88"/>
      <c r="G31" s="88"/>
      <c r="H31" s="88"/>
      <c r="I31" s="88">
        <v>10</v>
      </c>
      <c r="J31" s="88"/>
      <c r="K31" s="88"/>
      <c r="L31" s="88">
        <v>14</v>
      </c>
      <c r="M31" s="88"/>
      <c r="N31" s="88"/>
      <c r="O31" s="88">
        <v>39</v>
      </c>
    </row>
    <row r="32" spans="1:15" ht="15" hidden="1">
      <c r="A32" s="89" t="s">
        <v>49</v>
      </c>
      <c r="B32" s="88"/>
      <c r="C32" s="88"/>
      <c r="D32" s="88"/>
      <c r="E32" s="88"/>
      <c r="F32" s="88"/>
      <c r="G32" s="88">
        <v>49</v>
      </c>
      <c r="H32" s="88"/>
      <c r="I32" s="88">
        <v>1</v>
      </c>
      <c r="J32" s="88">
        <v>4</v>
      </c>
      <c r="K32" s="88"/>
      <c r="L32" s="88"/>
      <c r="M32" s="88"/>
      <c r="N32" s="88"/>
      <c r="O32" s="88">
        <v>54</v>
      </c>
    </row>
    <row r="33" spans="1:15" ht="15">
      <c r="A33" s="89" t="s">
        <v>574</v>
      </c>
      <c r="B33" s="88"/>
      <c r="C33" s="88"/>
      <c r="D33" s="88"/>
      <c r="E33" s="88"/>
      <c r="F33" s="88"/>
      <c r="G33" s="88"/>
      <c r="H33" s="88"/>
      <c r="I33" s="88"/>
      <c r="J33" s="88"/>
      <c r="K33" s="88"/>
      <c r="L33" s="88"/>
      <c r="M33" s="88"/>
      <c r="N33" s="88"/>
      <c r="O33" s="88"/>
    </row>
    <row r="34" spans="1:15" ht="15.75" thickBot="1">
      <c r="A34" s="86" t="s">
        <v>488</v>
      </c>
      <c r="B34" s="87"/>
      <c r="C34" s="87"/>
      <c r="D34" s="87"/>
      <c r="E34" s="87"/>
      <c r="F34" s="87"/>
      <c r="G34" s="87"/>
      <c r="H34" s="87"/>
      <c r="I34" s="87"/>
      <c r="J34" s="87"/>
      <c r="K34" s="87"/>
      <c r="L34" s="87"/>
      <c r="M34" s="87"/>
      <c r="N34" s="87"/>
      <c r="O34" s="87"/>
    </row>
    <row r="35" spans="1:15" ht="16.5" thickBot="1" thickTop="1">
      <c r="A35" s="78" t="s">
        <v>701</v>
      </c>
      <c r="B35" s="90">
        <v>13</v>
      </c>
      <c r="C35" s="90"/>
      <c r="D35" s="90">
        <v>135</v>
      </c>
      <c r="E35" s="90"/>
      <c r="F35" s="90"/>
      <c r="G35" s="90">
        <v>120</v>
      </c>
      <c r="H35" s="90"/>
      <c r="I35" s="90">
        <v>803</v>
      </c>
      <c r="J35" s="90">
        <v>29</v>
      </c>
      <c r="K35" s="90"/>
      <c r="L35" s="90">
        <v>135</v>
      </c>
      <c r="M35" s="90">
        <v>4</v>
      </c>
      <c r="N35" s="90">
        <v>254</v>
      </c>
      <c r="O35" s="90">
        <v>1493</v>
      </c>
    </row>
    <row r="36" ht="13.5" thickTop="1"/>
    <row r="47" ht="12.75" hidden="1"/>
    <row r="48" ht="12.75" hidden="1"/>
    <row r="53" ht="12.75" hidden="1"/>
    <row r="54" ht="12.75" hidden="1"/>
    <row r="63" ht="12.75" hidden="1"/>
    <row r="64" ht="12.75" hidden="1"/>
    <row r="65" ht="12.75" hidden="1"/>
    <row r="66" ht="12.75" hidden="1"/>
  </sheetData>
  <printOptions/>
  <pageMargins left="1.062992125984252" right="0.75" top="1.535433070866142" bottom="1.0236220472440944" header="1.1023622047244095" footer="1.88"/>
  <pageSetup horizontalDpi="600" verticalDpi="600" orientation="landscape" scale="73" r:id="rId1"/>
  <headerFooter alignWithMargins="0">
    <oddHeader>&amp;C&amp;"Arial,Negrita"&amp;12VIVIENDAS DESTRUIDAS POR TIPO DE EVENTO DURANTE 1998</oddHeader>
    <oddFooter>&amp;LACTUALIZADO A 5 DE NOVIEMBRE DE 1998</oddFooter>
  </headerFooter>
</worksheet>
</file>

<file path=xl/worksheets/sheet3.xml><?xml version="1.0" encoding="utf-8"?>
<worksheet xmlns="http://schemas.openxmlformats.org/spreadsheetml/2006/main" xmlns:r="http://schemas.openxmlformats.org/officeDocument/2006/relationships">
  <dimension ref="A1:O35"/>
  <sheetViews>
    <sheetView workbookViewId="0" topLeftCell="A1">
      <selection activeCell="A1" sqref="A1:O35"/>
    </sheetView>
  </sheetViews>
  <sheetFormatPr defaultColWidth="11.421875" defaultRowHeight="12.75"/>
  <cols>
    <col min="1" max="1" width="22.140625" style="0" customWidth="1"/>
    <col min="2" max="2" width="13.8515625" style="0" customWidth="1"/>
    <col min="3" max="3" width="17.8515625" style="0" hidden="1" customWidth="1"/>
    <col min="4" max="4" width="15.7109375" style="0" customWidth="1"/>
    <col min="5" max="6" width="17.8515625" style="0" hidden="1" customWidth="1"/>
    <col min="7" max="7" width="18.28125" style="0" bestFit="1" customWidth="1"/>
    <col min="8" max="8" width="17.8515625" style="0" hidden="1" customWidth="1"/>
    <col min="9" max="9" width="14.00390625" style="0" customWidth="1"/>
    <col min="10" max="10" width="13.421875" style="0" customWidth="1"/>
    <col min="11" max="11" width="17.8515625" style="0" hidden="1" customWidth="1"/>
    <col min="12" max="12" width="13.421875" style="0" customWidth="1"/>
    <col min="13" max="13" width="12.7109375" style="0" hidden="1" customWidth="1"/>
    <col min="14" max="14" width="9.8515625" style="0" customWidth="1"/>
    <col min="15" max="15" width="13.140625" style="0" bestFit="1" customWidth="1"/>
  </cols>
  <sheetData>
    <row r="1" spans="1:15" ht="15.75">
      <c r="A1" s="146" t="s">
        <v>704</v>
      </c>
      <c r="B1" s="85" t="s">
        <v>817</v>
      </c>
      <c r="C1" s="73"/>
      <c r="D1" s="73"/>
      <c r="E1" s="73"/>
      <c r="F1" s="73"/>
      <c r="G1" s="73"/>
      <c r="H1" s="73"/>
      <c r="I1" s="73"/>
      <c r="J1" s="73"/>
      <c r="K1" s="73"/>
      <c r="L1" s="73"/>
      <c r="M1" s="73"/>
      <c r="N1" s="73"/>
      <c r="O1" s="74"/>
    </row>
    <row r="2" spans="1:15" ht="15.75">
      <c r="A2" s="85" t="s">
        <v>815</v>
      </c>
      <c r="B2" s="76" t="s">
        <v>107</v>
      </c>
      <c r="C2" s="76" t="s">
        <v>82</v>
      </c>
      <c r="D2" s="76" t="s">
        <v>891</v>
      </c>
      <c r="E2" s="76" t="s">
        <v>36</v>
      </c>
      <c r="F2" s="76" t="s">
        <v>114</v>
      </c>
      <c r="G2" s="76" t="s">
        <v>879</v>
      </c>
      <c r="H2" s="76" t="s">
        <v>872</v>
      </c>
      <c r="I2" s="76" t="s">
        <v>821</v>
      </c>
      <c r="J2" s="76" t="s">
        <v>25</v>
      </c>
      <c r="K2" s="76" t="s">
        <v>884</v>
      </c>
      <c r="L2" s="76" t="s">
        <v>911</v>
      </c>
      <c r="M2" s="76" t="s">
        <v>707</v>
      </c>
      <c r="N2" s="76" t="s">
        <v>875</v>
      </c>
      <c r="O2" s="76" t="s">
        <v>701</v>
      </c>
    </row>
    <row r="3" spans="1:15" ht="12.75">
      <c r="A3" s="89" t="s">
        <v>172</v>
      </c>
      <c r="B3" s="76"/>
      <c r="C3" s="76"/>
      <c r="D3" s="76"/>
      <c r="E3" s="76"/>
      <c r="F3" s="76"/>
      <c r="G3" s="76"/>
      <c r="H3" s="76"/>
      <c r="I3" s="76">
        <v>493</v>
      </c>
      <c r="J3" s="76"/>
      <c r="K3" s="76"/>
      <c r="L3" s="76"/>
      <c r="M3" s="76"/>
      <c r="N3" s="76"/>
      <c r="O3" s="76">
        <v>493</v>
      </c>
    </row>
    <row r="4" spans="1:15" ht="12.75">
      <c r="A4" s="89" t="s">
        <v>820</v>
      </c>
      <c r="B4" s="76"/>
      <c r="C4" s="76"/>
      <c r="D4" s="76">
        <v>8</v>
      </c>
      <c r="E4" s="76"/>
      <c r="F4" s="76"/>
      <c r="G4" s="76"/>
      <c r="H4" s="76"/>
      <c r="I4" s="76">
        <v>4</v>
      </c>
      <c r="J4" s="76"/>
      <c r="K4" s="76"/>
      <c r="L4" s="76">
        <v>129</v>
      </c>
      <c r="M4" s="76"/>
      <c r="N4" s="76"/>
      <c r="O4" s="76">
        <v>141</v>
      </c>
    </row>
    <row r="5" spans="1:15" ht="12.75">
      <c r="A5" s="89" t="s">
        <v>432</v>
      </c>
      <c r="B5" s="76"/>
      <c r="C5" s="76"/>
      <c r="D5" s="76"/>
      <c r="E5" s="76"/>
      <c r="F5" s="76"/>
      <c r="G5" s="76"/>
      <c r="H5" s="76"/>
      <c r="I5" s="76">
        <v>27</v>
      </c>
      <c r="J5" s="76"/>
      <c r="K5" s="76"/>
      <c r="L5" s="76">
        <v>43</v>
      </c>
      <c r="M5" s="76"/>
      <c r="N5" s="76"/>
      <c r="O5" s="76">
        <v>70</v>
      </c>
    </row>
    <row r="6" spans="1:15" ht="12.75">
      <c r="A6" s="89" t="s">
        <v>203</v>
      </c>
      <c r="B6" s="76"/>
      <c r="C6" s="76"/>
      <c r="D6" s="76"/>
      <c r="E6" s="76"/>
      <c r="F6" s="76"/>
      <c r="G6" s="76"/>
      <c r="H6" s="76"/>
      <c r="I6" s="76">
        <v>491</v>
      </c>
      <c r="J6" s="76"/>
      <c r="K6" s="76"/>
      <c r="L6" s="76"/>
      <c r="M6" s="76"/>
      <c r="N6" s="76">
        <v>390</v>
      </c>
      <c r="O6" s="76">
        <v>881</v>
      </c>
    </row>
    <row r="7" spans="1:15" ht="12.75">
      <c r="A7" s="89" t="s">
        <v>59</v>
      </c>
      <c r="B7" s="76"/>
      <c r="C7" s="76"/>
      <c r="D7" s="76"/>
      <c r="E7" s="76"/>
      <c r="F7" s="76"/>
      <c r="G7" s="76"/>
      <c r="H7" s="76"/>
      <c r="I7" s="76">
        <v>538</v>
      </c>
      <c r="J7" s="76"/>
      <c r="K7" s="76"/>
      <c r="L7" s="76">
        <v>21</v>
      </c>
      <c r="M7" s="76"/>
      <c r="N7" s="76"/>
      <c r="O7" s="76">
        <v>559</v>
      </c>
    </row>
    <row r="8" spans="1:15" ht="12.75">
      <c r="A8" s="89" t="s">
        <v>829</v>
      </c>
      <c r="B8" s="76">
        <v>9</v>
      </c>
      <c r="C8" s="76"/>
      <c r="D8" s="76"/>
      <c r="E8" s="76"/>
      <c r="F8" s="76"/>
      <c r="G8" s="76"/>
      <c r="H8" s="76"/>
      <c r="I8" s="76"/>
      <c r="J8" s="76"/>
      <c r="K8" s="76"/>
      <c r="L8" s="76"/>
      <c r="M8" s="76"/>
      <c r="N8" s="76"/>
      <c r="O8" s="76">
        <v>9</v>
      </c>
    </row>
    <row r="9" spans="1:15" ht="12.75">
      <c r="A9" s="89" t="s">
        <v>195</v>
      </c>
      <c r="B9" s="76"/>
      <c r="C9" s="76"/>
      <c r="D9" s="76"/>
      <c r="E9" s="76"/>
      <c r="F9" s="76"/>
      <c r="G9" s="76"/>
      <c r="H9" s="76"/>
      <c r="I9" s="76"/>
      <c r="J9" s="76"/>
      <c r="K9" s="76"/>
      <c r="L9" s="76">
        <v>22</v>
      </c>
      <c r="M9" s="76"/>
      <c r="N9" s="76"/>
      <c r="O9" s="76">
        <v>22</v>
      </c>
    </row>
    <row r="10" spans="1:15" ht="12.75">
      <c r="A10" s="89" t="s">
        <v>126</v>
      </c>
      <c r="B10" s="76"/>
      <c r="C10" s="76"/>
      <c r="D10" s="76"/>
      <c r="E10" s="76"/>
      <c r="F10" s="76"/>
      <c r="G10" s="76"/>
      <c r="H10" s="76"/>
      <c r="I10" s="76"/>
      <c r="J10" s="76"/>
      <c r="K10" s="76"/>
      <c r="L10" s="76"/>
      <c r="M10" s="76"/>
      <c r="N10" s="76"/>
      <c r="O10" s="76"/>
    </row>
    <row r="11" spans="1:15" ht="12.75">
      <c r="A11" s="89" t="s">
        <v>11</v>
      </c>
      <c r="B11" s="76"/>
      <c r="C11" s="76"/>
      <c r="D11" s="76"/>
      <c r="E11" s="76"/>
      <c r="F11" s="76"/>
      <c r="G11" s="76"/>
      <c r="H11" s="76"/>
      <c r="I11" s="76">
        <v>333</v>
      </c>
      <c r="J11" s="76"/>
      <c r="K11" s="76"/>
      <c r="L11" s="76"/>
      <c r="M11" s="76"/>
      <c r="N11" s="76"/>
      <c r="O11" s="76">
        <v>333</v>
      </c>
    </row>
    <row r="12" spans="1:15" ht="12.75">
      <c r="A12" s="89" t="s">
        <v>129</v>
      </c>
      <c r="B12" s="76"/>
      <c r="C12" s="76"/>
      <c r="D12" s="76"/>
      <c r="E12" s="76"/>
      <c r="F12" s="76"/>
      <c r="G12" s="76"/>
      <c r="H12" s="76"/>
      <c r="I12" s="76">
        <v>21</v>
      </c>
      <c r="J12" s="76"/>
      <c r="K12" s="76"/>
      <c r="L12" s="76">
        <v>184</v>
      </c>
      <c r="M12" s="76"/>
      <c r="N12" s="76"/>
      <c r="O12" s="76">
        <v>205</v>
      </c>
    </row>
    <row r="13" spans="1:15" ht="12.75">
      <c r="A13" s="89" t="s">
        <v>13</v>
      </c>
      <c r="B13" s="76"/>
      <c r="C13" s="76"/>
      <c r="D13" s="76"/>
      <c r="E13" s="76"/>
      <c r="F13" s="76"/>
      <c r="G13" s="76"/>
      <c r="H13" s="76"/>
      <c r="I13" s="76">
        <v>318</v>
      </c>
      <c r="J13" s="76"/>
      <c r="K13" s="76"/>
      <c r="L13" s="76">
        <v>431</v>
      </c>
      <c r="M13" s="76"/>
      <c r="N13" s="76"/>
      <c r="O13" s="76">
        <v>749</v>
      </c>
    </row>
    <row r="14" spans="1:15" ht="12.75">
      <c r="A14" s="89" t="s">
        <v>877</v>
      </c>
      <c r="B14" s="76"/>
      <c r="C14" s="76"/>
      <c r="D14" s="76"/>
      <c r="E14" s="76"/>
      <c r="F14" s="76"/>
      <c r="G14" s="76"/>
      <c r="H14" s="76"/>
      <c r="I14" s="76">
        <v>394</v>
      </c>
      <c r="J14" s="76"/>
      <c r="K14" s="76"/>
      <c r="L14" s="76">
        <v>55</v>
      </c>
      <c r="M14" s="76"/>
      <c r="N14" s="76"/>
      <c r="O14" s="76">
        <v>449</v>
      </c>
    </row>
    <row r="15" spans="1:15" ht="12.75">
      <c r="A15" s="89" t="s">
        <v>16</v>
      </c>
      <c r="B15" s="76"/>
      <c r="C15" s="76"/>
      <c r="D15" s="76"/>
      <c r="E15" s="76"/>
      <c r="F15" s="76"/>
      <c r="G15" s="76"/>
      <c r="H15" s="76"/>
      <c r="I15" s="76">
        <v>24</v>
      </c>
      <c r="J15" s="76"/>
      <c r="K15" s="76"/>
      <c r="L15" s="76"/>
      <c r="M15" s="76"/>
      <c r="N15" s="76"/>
      <c r="O15" s="76">
        <v>24</v>
      </c>
    </row>
    <row r="16" spans="1:15" ht="12.75">
      <c r="A16" s="89" t="s">
        <v>22</v>
      </c>
      <c r="B16" s="76"/>
      <c r="C16" s="76"/>
      <c r="D16" s="76"/>
      <c r="E16" s="76"/>
      <c r="F16" s="76"/>
      <c r="G16" s="76">
        <v>2</v>
      </c>
      <c r="H16" s="76"/>
      <c r="I16" s="76">
        <v>111</v>
      </c>
      <c r="J16" s="76"/>
      <c r="K16" s="76"/>
      <c r="L16" s="76">
        <v>152</v>
      </c>
      <c r="M16" s="76"/>
      <c r="N16" s="76"/>
      <c r="O16" s="76">
        <v>265</v>
      </c>
    </row>
    <row r="17" spans="1:15" ht="12.75">
      <c r="A17" s="89" t="s">
        <v>658</v>
      </c>
      <c r="B17" s="76"/>
      <c r="C17" s="76"/>
      <c r="D17" s="76"/>
      <c r="E17" s="76"/>
      <c r="F17" s="76"/>
      <c r="G17" s="76"/>
      <c r="H17" s="76"/>
      <c r="I17" s="76"/>
      <c r="J17" s="76"/>
      <c r="K17" s="76"/>
      <c r="L17" s="76"/>
      <c r="M17" s="76"/>
      <c r="N17" s="76"/>
      <c r="O17" s="76"/>
    </row>
    <row r="18" spans="1:15" ht="12.75">
      <c r="A18" s="89" t="s">
        <v>77</v>
      </c>
      <c r="B18" s="76"/>
      <c r="C18" s="76"/>
      <c r="D18" s="76"/>
      <c r="E18" s="76"/>
      <c r="F18" s="76"/>
      <c r="G18" s="76"/>
      <c r="H18" s="76"/>
      <c r="I18" s="76"/>
      <c r="J18" s="76"/>
      <c r="K18" s="76"/>
      <c r="L18" s="76">
        <v>150</v>
      </c>
      <c r="M18" s="76"/>
      <c r="N18" s="76"/>
      <c r="O18" s="76">
        <v>150</v>
      </c>
    </row>
    <row r="19" spans="1:15" ht="12.75">
      <c r="A19" s="89" t="s">
        <v>34</v>
      </c>
      <c r="B19" s="76"/>
      <c r="C19" s="76"/>
      <c r="D19" s="76">
        <v>29</v>
      </c>
      <c r="E19" s="76"/>
      <c r="F19" s="76"/>
      <c r="G19" s="76"/>
      <c r="H19" s="76"/>
      <c r="I19" s="76"/>
      <c r="J19" s="76"/>
      <c r="K19" s="76"/>
      <c r="L19" s="76">
        <v>209</v>
      </c>
      <c r="M19" s="76"/>
      <c r="N19" s="76"/>
      <c r="O19" s="76">
        <v>238</v>
      </c>
    </row>
    <row r="20" spans="1:15" ht="12.75">
      <c r="A20" s="89" t="s">
        <v>39</v>
      </c>
      <c r="B20" s="76"/>
      <c r="C20" s="76"/>
      <c r="D20" s="76"/>
      <c r="E20" s="76"/>
      <c r="F20" s="76"/>
      <c r="G20" s="76"/>
      <c r="H20" s="76"/>
      <c r="I20" s="76">
        <v>11</v>
      </c>
      <c r="J20" s="76"/>
      <c r="K20" s="76"/>
      <c r="L20" s="76">
        <v>80</v>
      </c>
      <c r="M20" s="76"/>
      <c r="N20" s="76"/>
      <c r="O20" s="76">
        <v>91</v>
      </c>
    </row>
    <row r="21" spans="1:15" ht="12.75">
      <c r="A21" s="89" t="s">
        <v>882</v>
      </c>
      <c r="B21" s="76"/>
      <c r="C21" s="76"/>
      <c r="D21" s="76"/>
      <c r="E21" s="76"/>
      <c r="F21" s="76"/>
      <c r="G21" s="76"/>
      <c r="H21" s="76"/>
      <c r="I21" s="76">
        <v>542</v>
      </c>
      <c r="J21" s="76"/>
      <c r="K21" s="76"/>
      <c r="L21" s="76"/>
      <c r="M21" s="76"/>
      <c r="N21" s="76"/>
      <c r="O21" s="76">
        <v>542</v>
      </c>
    </row>
    <row r="22" spans="1:15" ht="12.75">
      <c r="A22" s="89" t="s">
        <v>310</v>
      </c>
      <c r="B22" s="76"/>
      <c r="C22" s="76"/>
      <c r="D22" s="76"/>
      <c r="E22" s="76"/>
      <c r="F22" s="76"/>
      <c r="G22" s="76"/>
      <c r="H22" s="76"/>
      <c r="I22" s="76">
        <v>468</v>
      </c>
      <c r="J22" s="76"/>
      <c r="K22" s="76"/>
      <c r="L22" s="76"/>
      <c r="M22" s="76"/>
      <c r="N22" s="76"/>
      <c r="O22" s="76">
        <v>468</v>
      </c>
    </row>
    <row r="23" spans="1:15" ht="12.75">
      <c r="A23" s="89" t="s">
        <v>889</v>
      </c>
      <c r="B23" s="76"/>
      <c r="C23" s="76"/>
      <c r="D23" s="76">
        <v>5</v>
      </c>
      <c r="E23" s="76"/>
      <c r="F23" s="76"/>
      <c r="G23" s="76"/>
      <c r="H23" s="76"/>
      <c r="I23" s="76"/>
      <c r="J23" s="76">
        <v>30</v>
      </c>
      <c r="K23" s="76"/>
      <c r="L23" s="76">
        <v>63</v>
      </c>
      <c r="M23" s="76"/>
      <c r="N23" s="76"/>
      <c r="O23" s="76">
        <v>98</v>
      </c>
    </row>
    <row r="24" spans="1:15" ht="12.75">
      <c r="A24" s="89" t="s">
        <v>893</v>
      </c>
      <c r="B24" s="76"/>
      <c r="C24" s="76"/>
      <c r="D24" s="76"/>
      <c r="E24" s="76"/>
      <c r="F24" s="76"/>
      <c r="G24" s="76"/>
      <c r="H24" s="76"/>
      <c r="I24" s="76">
        <v>110</v>
      </c>
      <c r="J24" s="76"/>
      <c r="K24" s="76"/>
      <c r="L24" s="76">
        <v>202</v>
      </c>
      <c r="M24" s="76"/>
      <c r="N24" s="76"/>
      <c r="O24" s="76">
        <v>312</v>
      </c>
    </row>
    <row r="25" spans="1:15" ht="12.75">
      <c r="A25" s="89" t="s">
        <v>92</v>
      </c>
      <c r="B25" s="76"/>
      <c r="C25" s="76"/>
      <c r="D25" s="76"/>
      <c r="E25" s="76"/>
      <c r="F25" s="76"/>
      <c r="G25" s="76"/>
      <c r="H25" s="76"/>
      <c r="I25" s="76"/>
      <c r="J25" s="76"/>
      <c r="K25" s="76"/>
      <c r="L25" s="76"/>
      <c r="M25" s="76"/>
      <c r="N25" s="76"/>
      <c r="O25" s="76"/>
    </row>
    <row r="26" spans="1:15" ht="12.75">
      <c r="A26" s="89" t="s">
        <v>41</v>
      </c>
      <c r="B26" s="76"/>
      <c r="C26" s="76"/>
      <c r="D26" s="76"/>
      <c r="E26" s="76"/>
      <c r="F26" s="76"/>
      <c r="G26" s="76"/>
      <c r="H26" s="76"/>
      <c r="I26" s="76">
        <v>10</v>
      </c>
      <c r="J26" s="76"/>
      <c r="K26" s="76"/>
      <c r="L26" s="76">
        <v>40</v>
      </c>
      <c r="M26" s="76"/>
      <c r="N26" s="76"/>
      <c r="O26" s="76">
        <v>50</v>
      </c>
    </row>
    <row r="27" spans="1:15" ht="12.75">
      <c r="A27" s="89" t="s">
        <v>366</v>
      </c>
      <c r="B27" s="76"/>
      <c r="C27" s="76"/>
      <c r="D27" s="76"/>
      <c r="E27" s="76"/>
      <c r="F27" s="76"/>
      <c r="G27" s="76"/>
      <c r="H27" s="76"/>
      <c r="I27" s="76"/>
      <c r="J27" s="76"/>
      <c r="K27" s="76"/>
      <c r="L27" s="76">
        <v>43</v>
      </c>
      <c r="M27" s="76"/>
      <c r="N27" s="76"/>
      <c r="O27" s="76">
        <v>43</v>
      </c>
    </row>
    <row r="28" spans="1:15" ht="12.75">
      <c r="A28" s="89" t="s">
        <v>48</v>
      </c>
      <c r="B28" s="76"/>
      <c r="C28" s="76"/>
      <c r="D28" s="76"/>
      <c r="E28" s="76"/>
      <c r="F28" s="76"/>
      <c r="G28" s="76"/>
      <c r="H28" s="76"/>
      <c r="I28" s="76"/>
      <c r="J28" s="76"/>
      <c r="K28" s="76"/>
      <c r="L28" s="76"/>
      <c r="M28" s="76"/>
      <c r="N28" s="76"/>
      <c r="O28" s="76"/>
    </row>
    <row r="29" spans="1:15" ht="12.75">
      <c r="A29" s="89" t="s">
        <v>899</v>
      </c>
      <c r="B29" s="76">
        <v>1</v>
      </c>
      <c r="C29" s="76"/>
      <c r="D29" s="76">
        <v>15</v>
      </c>
      <c r="E29" s="76"/>
      <c r="F29" s="76"/>
      <c r="G29" s="76"/>
      <c r="H29" s="76"/>
      <c r="I29" s="76">
        <v>619</v>
      </c>
      <c r="J29" s="76"/>
      <c r="K29" s="76"/>
      <c r="L29" s="76"/>
      <c r="M29" s="76"/>
      <c r="N29" s="76"/>
      <c r="O29" s="76">
        <v>635</v>
      </c>
    </row>
    <row r="30" spans="1:15" ht="12.75">
      <c r="A30" s="89" t="s">
        <v>904</v>
      </c>
      <c r="B30" s="76"/>
      <c r="C30" s="76"/>
      <c r="D30" s="76"/>
      <c r="E30" s="76"/>
      <c r="F30" s="76"/>
      <c r="G30" s="76"/>
      <c r="H30" s="76"/>
      <c r="I30" s="76">
        <v>67</v>
      </c>
      <c r="J30" s="76"/>
      <c r="K30" s="76"/>
      <c r="L30" s="76">
        <v>113</v>
      </c>
      <c r="M30" s="76"/>
      <c r="N30" s="76"/>
      <c r="O30" s="76">
        <v>180</v>
      </c>
    </row>
    <row r="31" spans="1:15" ht="12.75">
      <c r="A31" s="89" t="s">
        <v>100</v>
      </c>
      <c r="B31" s="76">
        <v>30</v>
      </c>
      <c r="C31" s="76"/>
      <c r="D31" s="76"/>
      <c r="E31" s="76"/>
      <c r="F31" s="76"/>
      <c r="G31" s="76"/>
      <c r="H31" s="76"/>
      <c r="I31" s="76">
        <v>5</v>
      </c>
      <c r="J31" s="76"/>
      <c r="K31" s="76"/>
      <c r="L31" s="76">
        <v>26</v>
      </c>
      <c r="M31" s="76"/>
      <c r="N31" s="76"/>
      <c r="O31" s="76">
        <v>61</v>
      </c>
    </row>
    <row r="32" spans="1:15" ht="12.75">
      <c r="A32" s="89" t="s">
        <v>49</v>
      </c>
      <c r="B32" s="76"/>
      <c r="C32" s="76"/>
      <c r="D32" s="76"/>
      <c r="E32" s="76"/>
      <c r="F32" s="76"/>
      <c r="G32" s="76">
        <v>1</v>
      </c>
      <c r="H32" s="76"/>
      <c r="I32" s="76">
        <v>60</v>
      </c>
      <c r="J32" s="76">
        <v>21</v>
      </c>
      <c r="K32" s="76"/>
      <c r="L32" s="76">
        <v>63</v>
      </c>
      <c r="M32" s="76"/>
      <c r="N32" s="76"/>
      <c r="O32" s="76">
        <v>145</v>
      </c>
    </row>
    <row r="33" spans="1:15" ht="12.75">
      <c r="A33" s="89" t="s">
        <v>574</v>
      </c>
      <c r="B33" s="76"/>
      <c r="C33" s="76"/>
      <c r="D33" s="76"/>
      <c r="E33" s="76"/>
      <c r="F33" s="76"/>
      <c r="G33" s="76"/>
      <c r="H33" s="76"/>
      <c r="I33" s="76"/>
      <c r="J33" s="76"/>
      <c r="K33" s="76"/>
      <c r="L33" s="76"/>
      <c r="M33" s="76"/>
      <c r="N33" s="76"/>
      <c r="O33" s="76"/>
    </row>
    <row r="34" spans="1:15" ht="13.5" thickBot="1">
      <c r="A34" s="86" t="s">
        <v>488</v>
      </c>
      <c r="B34" s="77"/>
      <c r="C34" s="77"/>
      <c r="D34" s="77"/>
      <c r="E34" s="77"/>
      <c r="F34" s="77"/>
      <c r="G34" s="77"/>
      <c r="H34" s="77"/>
      <c r="I34" s="77"/>
      <c r="J34" s="77"/>
      <c r="K34" s="77"/>
      <c r="L34" s="77"/>
      <c r="M34" s="77"/>
      <c r="N34" s="77"/>
      <c r="O34" s="77"/>
    </row>
    <row r="35" spans="1:15" ht="14.25" thickBot="1" thickTop="1">
      <c r="A35" s="78" t="s">
        <v>701</v>
      </c>
      <c r="B35" s="79">
        <v>40</v>
      </c>
      <c r="C35" s="79"/>
      <c r="D35" s="79">
        <v>57</v>
      </c>
      <c r="E35" s="79"/>
      <c r="F35" s="79"/>
      <c r="G35" s="79">
        <v>3</v>
      </c>
      <c r="H35" s="79"/>
      <c r="I35" s="79">
        <v>4646</v>
      </c>
      <c r="J35" s="79">
        <v>51</v>
      </c>
      <c r="K35" s="79"/>
      <c r="L35" s="79">
        <v>2026</v>
      </c>
      <c r="M35" s="79"/>
      <c r="N35" s="79">
        <v>390</v>
      </c>
      <c r="O35" s="79">
        <v>7213</v>
      </c>
    </row>
    <row r="36" ht="13.5" thickTop="1"/>
  </sheetData>
  <printOptions/>
  <pageMargins left="1.3385826771653544" right="0.75" top="1.4173228346456694" bottom="0.8267716535433072" header="0.7874015748031497" footer="0.82"/>
  <pageSetup horizontalDpi="600" verticalDpi="600" orientation="landscape" scale="85" r:id="rId1"/>
  <headerFooter alignWithMargins="0">
    <oddHeader>&amp;C&amp;"Arial,Negrita"&amp;14VIVIENDAS AVERIADAS POR TIPO DE EVENTO DURANTE 1998</oddHeader>
    <oddFooter>&amp;LACTUALIZADO A 5 DE NOVIEMBRE DE 1998</oddFooter>
  </headerFooter>
</worksheet>
</file>

<file path=xl/worksheets/sheet4.xml><?xml version="1.0" encoding="utf-8"?>
<worksheet xmlns="http://schemas.openxmlformats.org/spreadsheetml/2006/main" xmlns:r="http://schemas.openxmlformats.org/officeDocument/2006/relationships">
  <dimension ref="A1:AE780"/>
  <sheetViews>
    <sheetView workbookViewId="0" topLeftCell="H1">
      <pane ySplit="2" topLeftCell="BM414" activePane="bottomLeft" state="frozen"/>
      <selection pane="topLeft" activeCell="A1" sqref="A1"/>
      <selection pane="bottomLeft" activeCell="H414" sqref="H414"/>
    </sheetView>
  </sheetViews>
  <sheetFormatPr defaultColWidth="11.421875" defaultRowHeight="12.75"/>
  <cols>
    <col min="1" max="1" width="8.57421875" style="1" customWidth="1"/>
    <col min="2" max="2" width="16.140625" style="2" customWidth="1"/>
    <col min="3" max="3" width="13.00390625" style="4" customWidth="1"/>
    <col min="4" max="4" width="15.00390625" style="4" customWidth="1"/>
    <col min="5" max="5" width="9.28125" style="4" hidden="1" customWidth="1"/>
    <col min="6" max="7" width="8.28125" style="4" hidden="1" customWidth="1"/>
    <col min="8" max="8" width="13.57421875" style="4" customWidth="1"/>
    <col min="9" max="10" width="11.8515625" style="4" customWidth="1"/>
    <col min="11" max="11" width="10.00390625" style="4" hidden="1" customWidth="1"/>
    <col min="12" max="12" width="12.7109375" style="4" hidden="1" customWidth="1"/>
    <col min="13" max="13" width="9.140625" style="4" hidden="1" customWidth="1"/>
    <col min="14" max="14" width="6.57421875" style="4" hidden="1" customWidth="1"/>
    <col min="15" max="15" width="10.421875" style="6" hidden="1" customWidth="1"/>
    <col min="16" max="16" width="9.8515625" style="6" hidden="1" customWidth="1"/>
    <col min="17" max="17" width="7.28125" style="6" hidden="1" customWidth="1"/>
    <col min="18" max="18" width="8.140625" style="6" hidden="1" customWidth="1"/>
    <col min="19" max="19" width="8.00390625" style="6" hidden="1" customWidth="1"/>
    <col min="20" max="20" width="9.28125" style="6" hidden="1" customWidth="1"/>
    <col min="21" max="21" width="10.140625" style="6" hidden="1" customWidth="1"/>
    <col min="22" max="22" width="17.57421875" style="6" hidden="1" customWidth="1"/>
    <col min="23" max="23" width="17.421875" style="4" customWidth="1"/>
    <col min="24" max="24" width="12.8515625" style="4" customWidth="1"/>
    <col min="25" max="25" width="16.421875" style="4" customWidth="1"/>
    <col min="26" max="26" width="12.7109375" style="4" customWidth="1"/>
    <col min="27" max="27" width="12.00390625" style="4" customWidth="1"/>
    <col min="28" max="28" width="17.7109375" style="4" customWidth="1"/>
    <col min="29" max="29" width="18.421875" style="111" customWidth="1"/>
    <col min="30" max="30" width="40.00390625" style="4" hidden="1" customWidth="1"/>
    <col min="31" max="16384" width="11.421875" style="4" customWidth="1"/>
  </cols>
  <sheetData>
    <row r="1" spans="1:30" ht="24.75" customHeight="1" thickBot="1" thickTop="1">
      <c r="A1" s="152" t="s">
        <v>833</v>
      </c>
      <c r="B1" s="153"/>
      <c r="C1" s="153"/>
      <c r="D1" s="154"/>
      <c r="E1" s="155" t="s">
        <v>849</v>
      </c>
      <c r="F1" s="156"/>
      <c r="G1" s="156"/>
      <c r="H1" s="156"/>
      <c r="I1" s="156"/>
      <c r="J1" s="156"/>
      <c r="K1" s="156"/>
      <c r="L1" s="156"/>
      <c r="M1" s="157"/>
      <c r="N1" s="157"/>
      <c r="O1" s="157"/>
      <c r="P1" s="157"/>
      <c r="Q1" s="157"/>
      <c r="R1" s="157"/>
      <c r="S1" s="157"/>
      <c r="T1" s="157"/>
      <c r="U1" s="157"/>
      <c r="V1" s="158"/>
      <c r="W1" s="159" t="s">
        <v>845</v>
      </c>
      <c r="X1" s="160"/>
      <c r="Y1" s="160"/>
      <c r="Z1" s="160"/>
      <c r="AA1" s="160"/>
      <c r="AB1" s="160"/>
      <c r="AC1" s="110"/>
      <c r="AD1" s="148" t="s">
        <v>819</v>
      </c>
    </row>
    <row r="2" spans="1:30" s="105" customFormat="1" ht="44.25" customHeight="1" thickBot="1" thickTop="1">
      <c r="A2" s="99" t="s">
        <v>814</v>
      </c>
      <c r="B2" s="100" t="s">
        <v>815</v>
      </c>
      <c r="C2" s="100" t="s">
        <v>816</v>
      </c>
      <c r="D2" s="100" t="s">
        <v>759</v>
      </c>
      <c r="E2" s="101" t="s">
        <v>832</v>
      </c>
      <c r="F2" s="101" t="s">
        <v>834</v>
      </c>
      <c r="G2" s="101" t="s">
        <v>835</v>
      </c>
      <c r="H2" s="106" t="s">
        <v>762</v>
      </c>
      <c r="I2" s="106" t="s">
        <v>760</v>
      </c>
      <c r="J2" s="106" t="s">
        <v>761</v>
      </c>
      <c r="K2" s="102" t="s">
        <v>822</v>
      </c>
      <c r="L2" s="102" t="s">
        <v>850</v>
      </c>
      <c r="M2" s="102" t="s">
        <v>851</v>
      </c>
      <c r="N2" s="101" t="s">
        <v>830</v>
      </c>
      <c r="O2" s="103" t="s">
        <v>836</v>
      </c>
      <c r="P2" s="103" t="s">
        <v>837</v>
      </c>
      <c r="Q2" s="103" t="s">
        <v>838</v>
      </c>
      <c r="R2" s="103" t="s">
        <v>841</v>
      </c>
      <c r="S2" s="103" t="s">
        <v>839</v>
      </c>
      <c r="T2" s="103" t="s">
        <v>840</v>
      </c>
      <c r="U2" s="103" t="s">
        <v>842</v>
      </c>
      <c r="V2" s="103" t="s">
        <v>848</v>
      </c>
      <c r="W2" s="104" t="s">
        <v>843</v>
      </c>
      <c r="X2" s="104" t="s">
        <v>847</v>
      </c>
      <c r="Y2" s="104" t="s">
        <v>844</v>
      </c>
      <c r="Z2" s="104" t="s">
        <v>823</v>
      </c>
      <c r="AA2" s="104" t="s">
        <v>848</v>
      </c>
      <c r="AB2" s="121" t="s">
        <v>748</v>
      </c>
      <c r="AC2" s="104" t="s">
        <v>763</v>
      </c>
      <c r="AD2" s="149"/>
    </row>
    <row r="3" spans="1:30" ht="34.5" thickBot="1" thickTop="1">
      <c r="A3" s="20">
        <v>35929</v>
      </c>
      <c r="B3" s="22" t="s">
        <v>172</v>
      </c>
      <c r="C3" s="21" t="s">
        <v>875</v>
      </c>
      <c r="D3" s="21" t="s">
        <v>821</v>
      </c>
      <c r="E3" s="46"/>
      <c r="F3" s="46"/>
      <c r="G3" s="46"/>
      <c r="H3" s="46"/>
      <c r="I3" s="46">
        <v>10092</v>
      </c>
      <c r="J3" s="46">
        <v>10092</v>
      </c>
      <c r="K3" s="46">
        <v>1928</v>
      </c>
      <c r="L3" s="46"/>
      <c r="M3" s="47">
        <v>493</v>
      </c>
      <c r="N3" s="47">
        <v>25</v>
      </c>
      <c r="O3" s="47"/>
      <c r="P3" s="47">
        <v>8</v>
      </c>
      <c r="Q3" s="47"/>
      <c r="R3" s="47"/>
      <c r="S3" s="47"/>
      <c r="T3" s="47">
        <v>13</v>
      </c>
      <c r="U3" s="47">
        <v>19</v>
      </c>
      <c r="V3" s="29"/>
      <c r="W3" s="112"/>
      <c r="X3" s="112"/>
      <c r="Y3" s="112"/>
      <c r="Z3" s="112"/>
      <c r="AA3" s="112"/>
      <c r="AB3" s="112">
        <v>6900000</v>
      </c>
      <c r="AC3" s="113">
        <f aca="true" t="shared" si="0" ref="AC3:AC46">+W3+X3+Y3+Z3+AA3+AB3</f>
        <v>6900000</v>
      </c>
      <c r="AD3" s="107" t="s">
        <v>173</v>
      </c>
    </row>
    <row r="4" spans="1:30" ht="14.25" thickBot="1" thickTop="1">
      <c r="A4" s="20">
        <v>35926</v>
      </c>
      <c r="B4" s="22" t="s">
        <v>820</v>
      </c>
      <c r="C4" s="21" t="s">
        <v>182</v>
      </c>
      <c r="D4" s="21" t="s">
        <v>891</v>
      </c>
      <c r="E4" s="46"/>
      <c r="F4" s="46"/>
      <c r="G4" s="46"/>
      <c r="H4" s="46">
        <v>3188</v>
      </c>
      <c r="I4" s="46">
        <v>20</v>
      </c>
      <c r="J4" s="46">
        <v>0</v>
      </c>
      <c r="K4" s="46">
        <v>4</v>
      </c>
      <c r="L4" s="46"/>
      <c r="M4" s="47">
        <v>4</v>
      </c>
      <c r="N4" s="47"/>
      <c r="O4" s="47"/>
      <c r="P4" s="47"/>
      <c r="Q4" s="47"/>
      <c r="R4" s="47"/>
      <c r="S4" s="47"/>
      <c r="T4" s="47"/>
      <c r="U4" s="47"/>
      <c r="V4" s="29"/>
      <c r="W4" s="112"/>
      <c r="X4" s="112"/>
      <c r="Y4" s="112"/>
      <c r="Z4" s="112"/>
      <c r="AA4" s="112"/>
      <c r="AB4" s="112"/>
      <c r="AC4" s="113">
        <f>+W4+X4+Y4+Z4+AA4+AB4</f>
        <v>0</v>
      </c>
      <c r="AD4" s="107" t="s">
        <v>183</v>
      </c>
    </row>
    <row r="5" spans="1:30" ht="21.75" customHeight="1" thickBot="1" thickTop="1">
      <c r="A5" s="20">
        <v>35972</v>
      </c>
      <c r="B5" s="22" t="s">
        <v>820</v>
      </c>
      <c r="C5" s="21" t="s">
        <v>433</v>
      </c>
      <c r="D5" s="21" t="s">
        <v>821</v>
      </c>
      <c r="E5" s="46"/>
      <c r="F5" s="46"/>
      <c r="G5" s="46"/>
      <c r="H5" s="46">
        <v>22579</v>
      </c>
      <c r="I5" s="46"/>
      <c r="J5" s="46"/>
      <c r="K5" s="46"/>
      <c r="L5" s="46"/>
      <c r="M5" s="47"/>
      <c r="N5" s="47"/>
      <c r="O5" s="47"/>
      <c r="P5" s="47"/>
      <c r="Q5" s="47"/>
      <c r="R5" s="47"/>
      <c r="S5" s="47"/>
      <c r="T5" s="47"/>
      <c r="U5" s="47"/>
      <c r="V5" s="29"/>
      <c r="W5" s="112"/>
      <c r="X5" s="112">
        <v>9200000</v>
      </c>
      <c r="Y5" s="112"/>
      <c r="Z5" s="112"/>
      <c r="AA5" s="112"/>
      <c r="AB5" s="112"/>
      <c r="AC5" s="113">
        <f t="shared" si="0"/>
        <v>9200000</v>
      </c>
      <c r="AD5" s="107"/>
    </row>
    <row r="6" spans="1:30" ht="14.25" thickBot="1" thickTop="1">
      <c r="A6" s="20">
        <v>36096</v>
      </c>
      <c r="B6" s="22" t="s">
        <v>820</v>
      </c>
      <c r="C6" s="21" t="s">
        <v>618</v>
      </c>
      <c r="D6" s="21" t="s">
        <v>707</v>
      </c>
      <c r="E6" s="46"/>
      <c r="F6" s="46">
        <v>3</v>
      </c>
      <c r="G6" s="46"/>
      <c r="H6" s="46">
        <v>36673</v>
      </c>
      <c r="I6" s="46">
        <f>30*5</f>
        <v>150</v>
      </c>
      <c r="J6" s="46">
        <v>0</v>
      </c>
      <c r="K6" s="46">
        <v>30</v>
      </c>
      <c r="L6" s="46">
        <v>3</v>
      </c>
      <c r="M6" s="47">
        <v>1</v>
      </c>
      <c r="N6" s="47">
        <v>2</v>
      </c>
      <c r="O6" s="47"/>
      <c r="P6" s="47"/>
      <c r="Q6" s="47"/>
      <c r="R6" s="47"/>
      <c r="S6" s="47"/>
      <c r="T6" s="47"/>
      <c r="U6" s="47"/>
      <c r="V6" s="29"/>
      <c r="W6" s="112"/>
      <c r="X6" s="112"/>
      <c r="Y6" s="112"/>
      <c r="Z6" s="112"/>
      <c r="AA6" s="112"/>
      <c r="AB6" s="112"/>
      <c r="AC6" s="113">
        <f t="shared" si="0"/>
        <v>0</v>
      </c>
      <c r="AD6" s="107" t="s">
        <v>619</v>
      </c>
    </row>
    <row r="7" spans="1:30" ht="14.25" thickBot="1" thickTop="1">
      <c r="A7" s="20">
        <v>36008</v>
      </c>
      <c r="B7" s="22" t="s">
        <v>820</v>
      </c>
      <c r="C7" s="21" t="s">
        <v>581</v>
      </c>
      <c r="D7" s="21" t="s">
        <v>891</v>
      </c>
      <c r="E7" s="46"/>
      <c r="F7" s="46"/>
      <c r="G7" s="46"/>
      <c r="H7" s="46">
        <v>5672</v>
      </c>
      <c r="I7" s="46">
        <v>25</v>
      </c>
      <c r="J7" s="46">
        <v>0</v>
      </c>
      <c r="K7" s="46">
        <v>5</v>
      </c>
      <c r="L7" s="46"/>
      <c r="M7" s="47"/>
      <c r="N7" s="47"/>
      <c r="O7" s="47"/>
      <c r="P7" s="47"/>
      <c r="Q7" s="47"/>
      <c r="R7" s="47"/>
      <c r="S7" s="47"/>
      <c r="T7" s="47"/>
      <c r="U7" s="47"/>
      <c r="V7" s="29"/>
      <c r="W7" s="114"/>
      <c r="X7" s="112"/>
      <c r="Y7" s="112"/>
      <c r="Z7" s="112"/>
      <c r="AA7" s="112"/>
      <c r="AB7" s="112"/>
      <c r="AC7" s="113">
        <f t="shared" si="0"/>
        <v>0</v>
      </c>
      <c r="AD7" s="107"/>
    </row>
    <row r="8" spans="1:30" ht="23.25" customHeight="1" thickBot="1" thickTop="1">
      <c r="A8" s="20">
        <v>36017</v>
      </c>
      <c r="B8" s="22" t="s">
        <v>820</v>
      </c>
      <c r="C8" s="21" t="s">
        <v>585</v>
      </c>
      <c r="D8" s="21" t="s">
        <v>911</v>
      </c>
      <c r="E8" s="46"/>
      <c r="F8" s="46">
        <v>8</v>
      </c>
      <c r="G8" s="46"/>
      <c r="H8" s="46">
        <v>67591</v>
      </c>
      <c r="I8" s="46">
        <v>199</v>
      </c>
      <c r="J8" s="46">
        <v>199</v>
      </c>
      <c r="K8" s="46">
        <v>49</v>
      </c>
      <c r="L8" s="46"/>
      <c r="M8" s="47">
        <v>49</v>
      </c>
      <c r="N8" s="47"/>
      <c r="O8" s="47"/>
      <c r="P8" s="47"/>
      <c r="Q8" s="47"/>
      <c r="R8" s="47"/>
      <c r="S8" s="47"/>
      <c r="T8" s="47"/>
      <c r="U8" s="47"/>
      <c r="V8" s="29" t="s">
        <v>208</v>
      </c>
      <c r="W8" s="112"/>
      <c r="X8" s="112">
        <v>1150000</v>
      </c>
      <c r="Y8" s="112">
        <v>860430</v>
      </c>
      <c r="Z8" s="112"/>
      <c r="AA8" s="112"/>
      <c r="AB8" s="112"/>
      <c r="AC8" s="113">
        <f t="shared" si="0"/>
        <v>2010430</v>
      </c>
      <c r="AD8" s="107" t="s">
        <v>732</v>
      </c>
    </row>
    <row r="9" spans="1:30" ht="14.25" thickBot="1" thickTop="1">
      <c r="A9" s="20">
        <v>35829</v>
      </c>
      <c r="B9" s="21" t="s">
        <v>820</v>
      </c>
      <c r="C9" s="21" t="s">
        <v>908</v>
      </c>
      <c r="D9" s="21" t="s">
        <v>891</v>
      </c>
      <c r="E9" s="46"/>
      <c r="F9" s="46"/>
      <c r="G9" s="46"/>
      <c r="H9" s="46">
        <v>264009</v>
      </c>
      <c r="I9" s="46">
        <v>150</v>
      </c>
      <c r="J9" s="46">
        <v>0</v>
      </c>
      <c r="K9" s="46">
        <v>30</v>
      </c>
      <c r="L9" s="46"/>
      <c r="M9" s="47"/>
      <c r="N9" s="47"/>
      <c r="O9" s="47"/>
      <c r="P9" s="47"/>
      <c r="Q9" s="47"/>
      <c r="R9" s="47"/>
      <c r="S9" s="47"/>
      <c r="T9" s="47"/>
      <c r="U9" s="47"/>
      <c r="V9" s="29"/>
      <c r="W9" s="112"/>
      <c r="X9" s="112"/>
      <c r="Y9" s="112"/>
      <c r="Z9" s="112"/>
      <c r="AA9" s="112"/>
      <c r="AB9" s="112"/>
      <c r="AC9" s="113">
        <f t="shared" si="0"/>
        <v>0</v>
      </c>
      <c r="AD9" s="107" t="s">
        <v>909</v>
      </c>
    </row>
    <row r="10" spans="1:30" ht="14.25" thickBot="1" thickTop="1">
      <c r="A10" s="20">
        <v>35941</v>
      </c>
      <c r="B10" s="22" t="s">
        <v>820</v>
      </c>
      <c r="C10" s="21" t="s">
        <v>908</v>
      </c>
      <c r="D10" s="21" t="s">
        <v>891</v>
      </c>
      <c r="E10" s="46"/>
      <c r="F10" s="46"/>
      <c r="G10" s="46"/>
      <c r="H10" s="46">
        <v>264009</v>
      </c>
      <c r="I10" s="46">
        <v>49</v>
      </c>
      <c r="J10" s="46">
        <v>0</v>
      </c>
      <c r="K10" s="46">
        <v>10</v>
      </c>
      <c r="L10" s="46"/>
      <c r="M10" s="47"/>
      <c r="N10" s="47"/>
      <c r="O10" s="47"/>
      <c r="P10" s="47"/>
      <c r="Q10" s="47"/>
      <c r="R10" s="47"/>
      <c r="S10" s="47"/>
      <c r="T10" s="47"/>
      <c r="U10" s="47"/>
      <c r="V10" s="29"/>
      <c r="W10" s="112"/>
      <c r="X10" s="112"/>
      <c r="Y10" s="112"/>
      <c r="Z10" s="112"/>
      <c r="AA10" s="112"/>
      <c r="AB10" s="112"/>
      <c r="AC10" s="113">
        <f t="shared" si="0"/>
        <v>0</v>
      </c>
      <c r="AD10" s="107"/>
    </row>
    <row r="11" spans="1:30" ht="18" thickBot="1" thickTop="1">
      <c r="A11" s="20">
        <v>36128</v>
      </c>
      <c r="B11" s="22" t="s">
        <v>820</v>
      </c>
      <c r="C11" s="21" t="s">
        <v>908</v>
      </c>
      <c r="D11" s="21" t="s">
        <v>821</v>
      </c>
      <c r="E11" s="46"/>
      <c r="F11" s="46"/>
      <c r="G11" s="46"/>
      <c r="H11" s="46">
        <v>264009</v>
      </c>
      <c r="I11" s="46">
        <f>240*5</f>
        <v>1200</v>
      </c>
      <c r="J11" s="46">
        <v>0</v>
      </c>
      <c r="K11" s="46">
        <v>240</v>
      </c>
      <c r="L11" s="46">
        <v>4</v>
      </c>
      <c r="M11" s="47">
        <v>240</v>
      </c>
      <c r="N11" s="47"/>
      <c r="O11" s="47"/>
      <c r="P11" s="47"/>
      <c r="Q11" s="47"/>
      <c r="R11" s="47"/>
      <c r="S11" s="47"/>
      <c r="T11" s="47"/>
      <c r="U11" s="47"/>
      <c r="V11" s="29"/>
      <c r="W11" s="112"/>
      <c r="X11" s="112"/>
      <c r="Y11" s="112"/>
      <c r="Z11" s="112"/>
      <c r="AA11" s="112"/>
      <c r="AB11" s="112"/>
      <c r="AC11" s="113">
        <f t="shared" si="0"/>
        <v>0</v>
      </c>
      <c r="AD11" s="107" t="s">
        <v>623</v>
      </c>
    </row>
    <row r="12" spans="1:30" ht="14.25" thickBot="1" thickTop="1">
      <c r="A12" s="20">
        <v>35932</v>
      </c>
      <c r="B12" s="22" t="s">
        <v>820</v>
      </c>
      <c r="C12" s="21" t="s">
        <v>195</v>
      </c>
      <c r="D12" s="21" t="s">
        <v>891</v>
      </c>
      <c r="E12" s="46">
        <v>3</v>
      </c>
      <c r="F12" s="46">
        <v>2</v>
      </c>
      <c r="G12" s="46"/>
      <c r="H12" s="46">
        <v>51240</v>
      </c>
      <c r="I12" s="46">
        <v>1</v>
      </c>
      <c r="J12" s="46">
        <v>0</v>
      </c>
      <c r="K12" s="46">
        <v>1</v>
      </c>
      <c r="L12" s="46">
        <v>1</v>
      </c>
      <c r="M12" s="47"/>
      <c r="N12" s="47"/>
      <c r="O12" s="47"/>
      <c r="P12" s="47"/>
      <c r="Q12" s="47"/>
      <c r="R12" s="47"/>
      <c r="S12" s="47"/>
      <c r="T12" s="47"/>
      <c r="U12" s="47"/>
      <c r="V12" s="29"/>
      <c r="W12" s="112"/>
      <c r="X12" s="112"/>
      <c r="Y12" s="112"/>
      <c r="Z12" s="112"/>
      <c r="AA12" s="112"/>
      <c r="AB12" s="112"/>
      <c r="AC12" s="113">
        <f t="shared" si="0"/>
        <v>0</v>
      </c>
      <c r="AD12" s="107" t="s">
        <v>196</v>
      </c>
    </row>
    <row r="13" spans="1:30" ht="14.25" thickBot="1" thickTop="1">
      <c r="A13" s="20">
        <v>35944</v>
      </c>
      <c r="B13" s="22" t="s">
        <v>820</v>
      </c>
      <c r="C13" s="21" t="s">
        <v>195</v>
      </c>
      <c r="D13" s="21" t="s">
        <v>821</v>
      </c>
      <c r="E13" s="46"/>
      <c r="F13" s="46"/>
      <c r="G13" s="46"/>
      <c r="H13" s="46">
        <v>51240</v>
      </c>
      <c r="I13" s="46">
        <v>230</v>
      </c>
      <c r="J13" s="46">
        <v>0</v>
      </c>
      <c r="K13" s="46">
        <v>45</v>
      </c>
      <c r="L13" s="46"/>
      <c r="M13" s="47"/>
      <c r="N13" s="47"/>
      <c r="O13" s="47"/>
      <c r="P13" s="47"/>
      <c r="Q13" s="47"/>
      <c r="R13" s="47"/>
      <c r="S13" s="47"/>
      <c r="T13" s="47"/>
      <c r="U13" s="47"/>
      <c r="V13" s="29"/>
      <c r="W13" s="112"/>
      <c r="X13" s="112"/>
      <c r="Y13" s="112"/>
      <c r="Z13" s="112"/>
      <c r="AA13" s="112"/>
      <c r="AB13" s="112"/>
      <c r="AC13" s="113">
        <f t="shared" si="0"/>
        <v>0</v>
      </c>
      <c r="AD13" s="107" t="s">
        <v>200</v>
      </c>
    </row>
    <row r="14" spans="1:30" ht="14.25" thickBot="1" thickTop="1">
      <c r="A14" s="20">
        <v>36062</v>
      </c>
      <c r="B14" s="22" t="s">
        <v>820</v>
      </c>
      <c r="C14" s="21" t="s">
        <v>195</v>
      </c>
      <c r="D14" s="21" t="s">
        <v>707</v>
      </c>
      <c r="E14" s="46"/>
      <c r="F14" s="46">
        <v>9</v>
      </c>
      <c r="G14" s="46"/>
      <c r="H14" s="46">
        <v>51240</v>
      </c>
      <c r="I14" s="46">
        <v>20</v>
      </c>
      <c r="J14" s="46">
        <v>0</v>
      </c>
      <c r="K14" s="46">
        <v>4</v>
      </c>
      <c r="L14" s="46">
        <v>4</v>
      </c>
      <c r="M14" s="47"/>
      <c r="N14" s="47"/>
      <c r="O14" s="47"/>
      <c r="P14" s="47"/>
      <c r="Q14" s="47"/>
      <c r="R14" s="47"/>
      <c r="S14" s="47"/>
      <c r="T14" s="47"/>
      <c r="U14" s="47"/>
      <c r="V14" s="29"/>
      <c r="W14" s="112"/>
      <c r="X14" s="112"/>
      <c r="Y14" s="112"/>
      <c r="Z14" s="112"/>
      <c r="AA14" s="112"/>
      <c r="AB14" s="112"/>
      <c r="AC14" s="113">
        <f t="shared" si="0"/>
        <v>0</v>
      </c>
      <c r="AD14" s="107"/>
    </row>
    <row r="15" spans="1:30" ht="14.25" thickBot="1" thickTop="1">
      <c r="A15" s="20">
        <v>36093</v>
      </c>
      <c r="B15" s="22" t="s">
        <v>820</v>
      </c>
      <c r="C15" s="21" t="s">
        <v>195</v>
      </c>
      <c r="D15" s="21" t="s">
        <v>891</v>
      </c>
      <c r="E15" s="46"/>
      <c r="F15" s="46"/>
      <c r="G15" s="46"/>
      <c r="H15" s="46">
        <v>51240</v>
      </c>
      <c r="I15" s="46">
        <v>10</v>
      </c>
      <c r="J15" s="46">
        <v>0</v>
      </c>
      <c r="K15" s="46">
        <v>2</v>
      </c>
      <c r="L15" s="46"/>
      <c r="M15" s="47"/>
      <c r="N15" s="47"/>
      <c r="O15" s="47"/>
      <c r="P15" s="47"/>
      <c r="Q15" s="47"/>
      <c r="R15" s="47"/>
      <c r="S15" s="47"/>
      <c r="T15" s="47"/>
      <c r="U15" s="47"/>
      <c r="V15" s="29"/>
      <c r="W15" s="112"/>
      <c r="X15" s="112"/>
      <c r="Y15" s="112"/>
      <c r="Z15" s="112"/>
      <c r="AA15" s="112"/>
      <c r="AB15" s="112"/>
      <c r="AC15" s="113">
        <f t="shared" si="0"/>
        <v>0</v>
      </c>
      <c r="AD15" s="107" t="s">
        <v>801</v>
      </c>
    </row>
    <row r="16" spans="1:30" ht="14.25" thickBot="1" thickTop="1">
      <c r="A16" s="20">
        <v>36091</v>
      </c>
      <c r="B16" s="22" t="s">
        <v>820</v>
      </c>
      <c r="C16" s="21" t="s">
        <v>642</v>
      </c>
      <c r="D16" s="21" t="s">
        <v>821</v>
      </c>
      <c r="E16" s="46"/>
      <c r="F16" s="46"/>
      <c r="G16" s="46"/>
      <c r="H16" s="46">
        <v>6041</v>
      </c>
      <c r="I16" s="46">
        <v>98</v>
      </c>
      <c r="J16" s="46">
        <v>0</v>
      </c>
      <c r="K16" s="46">
        <v>23</v>
      </c>
      <c r="L16" s="46"/>
      <c r="M16" s="47">
        <v>23</v>
      </c>
      <c r="N16" s="47"/>
      <c r="O16" s="47"/>
      <c r="P16" s="47"/>
      <c r="Q16" s="47"/>
      <c r="R16" s="47"/>
      <c r="S16" s="47"/>
      <c r="T16" s="47"/>
      <c r="U16" s="47"/>
      <c r="V16" s="29"/>
      <c r="W16" s="112"/>
      <c r="X16" s="112"/>
      <c r="Y16" s="112"/>
      <c r="Z16" s="112"/>
      <c r="AA16" s="112"/>
      <c r="AB16" s="112"/>
      <c r="AC16" s="113">
        <f t="shared" si="0"/>
        <v>0</v>
      </c>
      <c r="AD16" s="107" t="s">
        <v>644</v>
      </c>
    </row>
    <row r="17" spans="1:30" ht="14.25" thickBot="1" thickTop="1">
      <c r="A17" s="20">
        <v>35979</v>
      </c>
      <c r="B17" s="22" t="s">
        <v>820</v>
      </c>
      <c r="C17" s="21" t="s">
        <v>490</v>
      </c>
      <c r="D17" s="21" t="s">
        <v>821</v>
      </c>
      <c r="E17" s="46"/>
      <c r="F17" s="46"/>
      <c r="G17" s="46"/>
      <c r="H17" s="46">
        <v>26951</v>
      </c>
      <c r="I17" s="46">
        <v>84</v>
      </c>
      <c r="J17" s="46">
        <v>84</v>
      </c>
      <c r="K17" s="46">
        <v>21</v>
      </c>
      <c r="L17" s="46"/>
      <c r="M17" s="47"/>
      <c r="N17" s="47"/>
      <c r="O17" s="47"/>
      <c r="P17" s="47"/>
      <c r="Q17" s="47"/>
      <c r="R17" s="47"/>
      <c r="S17" s="47"/>
      <c r="T17" s="47"/>
      <c r="U17" s="47"/>
      <c r="V17" s="29"/>
      <c r="W17" s="112">
        <v>2352149.1</v>
      </c>
      <c r="X17" s="112"/>
      <c r="Y17" s="112"/>
      <c r="Z17" s="112"/>
      <c r="AA17" s="112"/>
      <c r="AB17" s="112"/>
      <c r="AC17" s="113">
        <f t="shared" si="0"/>
        <v>2352149.1</v>
      </c>
      <c r="AD17" s="107" t="s">
        <v>491</v>
      </c>
    </row>
    <row r="18" spans="1:30" ht="18" thickBot="1" thickTop="1">
      <c r="A18" s="20">
        <v>36008</v>
      </c>
      <c r="B18" s="22" t="s">
        <v>820</v>
      </c>
      <c r="C18" s="21" t="s">
        <v>490</v>
      </c>
      <c r="D18" s="21" t="s">
        <v>911</v>
      </c>
      <c r="E18" s="46"/>
      <c r="F18" s="46"/>
      <c r="G18" s="46"/>
      <c r="H18" s="46">
        <v>26951</v>
      </c>
      <c r="I18" s="46">
        <v>610</v>
      </c>
      <c r="J18" s="46">
        <v>0</v>
      </c>
      <c r="K18" s="46">
        <v>122</v>
      </c>
      <c r="L18" s="46"/>
      <c r="M18" s="47">
        <v>80</v>
      </c>
      <c r="N18" s="47"/>
      <c r="O18" s="47"/>
      <c r="P18" s="47"/>
      <c r="Q18" s="47"/>
      <c r="R18" s="47"/>
      <c r="S18" s="47"/>
      <c r="T18" s="47"/>
      <c r="U18" s="47"/>
      <c r="V18" s="29" t="s">
        <v>584</v>
      </c>
      <c r="W18" s="112"/>
      <c r="X18" s="112"/>
      <c r="Y18" s="112"/>
      <c r="Z18" s="112"/>
      <c r="AA18" s="112"/>
      <c r="AB18" s="112"/>
      <c r="AC18" s="113">
        <f t="shared" si="0"/>
        <v>0</v>
      </c>
      <c r="AD18" s="107"/>
    </row>
    <row r="19" spans="1:30" ht="14.25" thickBot="1" thickTop="1">
      <c r="A19" s="20">
        <v>35932</v>
      </c>
      <c r="B19" s="22" t="s">
        <v>820</v>
      </c>
      <c r="C19" s="21" t="s">
        <v>197</v>
      </c>
      <c r="D19" s="21" t="s">
        <v>821</v>
      </c>
      <c r="E19" s="46"/>
      <c r="F19" s="46"/>
      <c r="G19" s="46"/>
      <c r="H19" s="46">
        <v>47439</v>
      </c>
      <c r="I19" s="46">
        <v>425</v>
      </c>
      <c r="J19" s="46">
        <v>0</v>
      </c>
      <c r="K19" s="46">
        <v>85</v>
      </c>
      <c r="L19" s="46"/>
      <c r="M19" s="47"/>
      <c r="N19" s="47"/>
      <c r="O19" s="47"/>
      <c r="P19" s="47"/>
      <c r="Q19" s="47"/>
      <c r="R19" s="47"/>
      <c r="S19" s="47"/>
      <c r="T19" s="47"/>
      <c r="U19" s="47"/>
      <c r="V19" s="29"/>
      <c r="W19" s="112"/>
      <c r="X19" s="112"/>
      <c r="Y19" s="112"/>
      <c r="Z19" s="112"/>
      <c r="AA19" s="112"/>
      <c r="AB19" s="112"/>
      <c r="AC19" s="113">
        <f t="shared" si="0"/>
        <v>0</v>
      </c>
      <c r="AD19" s="107" t="s">
        <v>198</v>
      </c>
    </row>
    <row r="20" spans="1:30" ht="14.25" thickBot="1" thickTop="1">
      <c r="A20" s="20">
        <v>35932</v>
      </c>
      <c r="B20" s="22" t="s">
        <v>820</v>
      </c>
      <c r="C20" s="21" t="s">
        <v>197</v>
      </c>
      <c r="D20" s="21" t="s">
        <v>821</v>
      </c>
      <c r="E20" s="46"/>
      <c r="F20" s="46"/>
      <c r="G20" s="46"/>
      <c r="H20" s="46">
        <v>47439</v>
      </c>
      <c r="I20" s="46">
        <v>550</v>
      </c>
      <c r="J20" s="46">
        <v>0</v>
      </c>
      <c r="K20" s="46">
        <v>110</v>
      </c>
      <c r="L20" s="46"/>
      <c r="M20" s="47"/>
      <c r="N20" s="47"/>
      <c r="O20" s="47"/>
      <c r="P20" s="47"/>
      <c r="Q20" s="47"/>
      <c r="R20" s="47"/>
      <c r="S20" s="47"/>
      <c r="T20" s="47"/>
      <c r="U20" s="47"/>
      <c r="V20" s="29"/>
      <c r="W20" s="112"/>
      <c r="X20" s="112"/>
      <c r="Y20" s="112"/>
      <c r="Z20" s="112"/>
      <c r="AA20" s="112"/>
      <c r="AB20" s="112"/>
      <c r="AC20" s="113">
        <f t="shared" si="0"/>
        <v>0</v>
      </c>
      <c r="AD20" s="107"/>
    </row>
    <row r="21" spans="1:30" ht="14.25" thickBot="1" thickTop="1">
      <c r="A21" s="20">
        <v>36129</v>
      </c>
      <c r="B21" s="22" t="s">
        <v>820</v>
      </c>
      <c r="C21" s="21" t="s">
        <v>643</v>
      </c>
      <c r="D21" s="21" t="s">
        <v>821</v>
      </c>
      <c r="E21" s="46"/>
      <c r="F21" s="46"/>
      <c r="G21" s="46"/>
      <c r="H21" s="46">
        <v>47439</v>
      </c>
      <c r="I21" s="46">
        <f>200*5</f>
        <v>1000</v>
      </c>
      <c r="J21" s="46">
        <v>0</v>
      </c>
      <c r="K21" s="46">
        <v>200</v>
      </c>
      <c r="L21" s="46"/>
      <c r="M21" s="47"/>
      <c r="N21" s="47"/>
      <c r="O21" s="47"/>
      <c r="P21" s="47"/>
      <c r="Q21" s="47"/>
      <c r="R21" s="47"/>
      <c r="S21" s="47"/>
      <c r="T21" s="47"/>
      <c r="U21" s="47"/>
      <c r="V21" s="29"/>
      <c r="W21" s="112"/>
      <c r="X21" s="112"/>
      <c r="Y21" s="112"/>
      <c r="Z21" s="112"/>
      <c r="AA21" s="112"/>
      <c r="AB21" s="112"/>
      <c r="AC21" s="113">
        <f t="shared" si="0"/>
        <v>0</v>
      </c>
      <c r="AD21" s="107" t="s">
        <v>644</v>
      </c>
    </row>
    <row r="22" spans="1:30" ht="18" thickBot="1" thickTop="1">
      <c r="A22" s="20">
        <v>36138</v>
      </c>
      <c r="B22" s="22" t="s">
        <v>820</v>
      </c>
      <c r="C22" s="21" t="s">
        <v>643</v>
      </c>
      <c r="D22" s="21" t="s">
        <v>821</v>
      </c>
      <c r="E22" s="46"/>
      <c r="F22" s="46"/>
      <c r="G22" s="46"/>
      <c r="H22" s="46">
        <v>47439</v>
      </c>
      <c r="I22" s="46">
        <f>530*5</f>
        <v>2650</v>
      </c>
      <c r="J22" s="46">
        <v>0</v>
      </c>
      <c r="K22" s="46">
        <v>530</v>
      </c>
      <c r="L22" s="46"/>
      <c r="M22" s="47"/>
      <c r="N22" s="47"/>
      <c r="O22" s="47"/>
      <c r="P22" s="47"/>
      <c r="Q22" s="47"/>
      <c r="R22" s="47"/>
      <c r="S22" s="47"/>
      <c r="T22" s="47"/>
      <c r="U22" s="47"/>
      <c r="V22" s="29"/>
      <c r="W22" s="112"/>
      <c r="X22" s="112"/>
      <c r="Y22" s="112"/>
      <c r="Z22" s="112"/>
      <c r="AA22" s="112"/>
      <c r="AB22" s="112"/>
      <c r="AC22" s="113">
        <f t="shared" si="0"/>
        <v>0</v>
      </c>
      <c r="AD22" s="107" t="s">
        <v>788</v>
      </c>
    </row>
    <row r="23" spans="1:30" ht="14.25" thickBot="1" thickTop="1">
      <c r="A23" s="20">
        <v>35977</v>
      </c>
      <c r="B23" s="22" t="s">
        <v>820</v>
      </c>
      <c r="C23" s="21" t="s">
        <v>492</v>
      </c>
      <c r="D23" s="21" t="s">
        <v>821</v>
      </c>
      <c r="E23" s="46"/>
      <c r="F23" s="46"/>
      <c r="G23" s="46"/>
      <c r="H23" s="46">
        <v>38660</v>
      </c>
      <c r="I23" s="46">
        <v>230</v>
      </c>
      <c r="J23" s="46">
        <v>0</v>
      </c>
      <c r="K23" s="46">
        <v>46</v>
      </c>
      <c r="L23" s="46">
        <v>46</v>
      </c>
      <c r="M23" s="47"/>
      <c r="N23" s="47"/>
      <c r="O23" s="47"/>
      <c r="P23" s="47"/>
      <c r="Q23" s="47"/>
      <c r="R23" s="47"/>
      <c r="S23" s="47"/>
      <c r="T23" s="47">
        <v>9</v>
      </c>
      <c r="U23" s="47"/>
      <c r="V23" s="29"/>
      <c r="W23" s="112"/>
      <c r="X23" s="112"/>
      <c r="Y23" s="112"/>
      <c r="Z23" s="112"/>
      <c r="AA23" s="112"/>
      <c r="AB23" s="112"/>
      <c r="AC23" s="113">
        <f t="shared" si="0"/>
        <v>0</v>
      </c>
      <c r="AD23" s="107" t="s">
        <v>493</v>
      </c>
    </row>
    <row r="24" spans="1:30" ht="24" thickBot="1" thickTop="1">
      <c r="A24" s="20">
        <v>35932</v>
      </c>
      <c r="B24" s="22" t="s">
        <v>820</v>
      </c>
      <c r="C24" s="21" t="s">
        <v>184</v>
      </c>
      <c r="D24" s="21" t="s">
        <v>821</v>
      </c>
      <c r="E24" s="46"/>
      <c r="F24" s="46"/>
      <c r="G24" s="46"/>
      <c r="H24" s="46"/>
      <c r="I24" s="46">
        <v>35</v>
      </c>
      <c r="J24" s="46">
        <v>0</v>
      </c>
      <c r="K24" s="46">
        <v>7</v>
      </c>
      <c r="L24" s="46"/>
      <c r="M24" s="47"/>
      <c r="N24" s="47"/>
      <c r="O24" s="47"/>
      <c r="P24" s="47"/>
      <c r="Q24" s="47"/>
      <c r="R24" s="47"/>
      <c r="S24" s="47"/>
      <c r="T24" s="47"/>
      <c r="U24" s="47"/>
      <c r="V24" s="29"/>
      <c r="W24" s="112"/>
      <c r="X24" s="112"/>
      <c r="Y24" s="112"/>
      <c r="Z24" s="112"/>
      <c r="AA24" s="112"/>
      <c r="AB24" s="112"/>
      <c r="AC24" s="113">
        <f t="shared" si="0"/>
        <v>0</v>
      </c>
      <c r="AD24" s="107"/>
    </row>
    <row r="25" spans="1:30" ht="24" thickBot="1" thickTop="1">
      <c r="A25" s="20">
        <v>35932</v>
      </c>
      <c r="B25" s="22" t="s">
        <v>820</v>
      </c>
      <c r="C25" s="21" t="s">
        <v>184</v>
      </c>
      <c r="D25" s="21" t="s">
        <v>891</v>
      </c>
      <c r="E25" s="46"/>
      <c r="F25" s="46"/>
      <c r="G25" s="46"/>
      <c r="H25" s="46"/>
      <c r="I25" s="46">
        <v>70</v>
      </c>
      <c r="J25" s="46">
        <v>0</v>
      </c>
      <c r="K25" s="46">
        <v>20</v>
      </c>
      <c r="L25" s="46"/>
      <c r="M25" s="47"/>
      <c r="N25" s="47"/>
      <c r="O25" s="47"/>
      <c r="P25" s="47"/>
      <c r="Q25" s="47"/>
      <c r="R25" s="47"/>
      <c r="S25" s="47"/>
      <c r="T25" s="47"/>
      <c r="U25" s="47"/>
      <c r="V25" s="29"/>
      <c r="W25" s="112"/>
      <c r="X25" s="112"/>
      <c r="Y25" s="112"/>
      <c r="Z25" s="112"/>
      <c r="AA25" s="112"/>
      <c r="AB25" s="112"/>
      <c r="AC25" s="113">
        <f t="shared" si="0"/>
        <v>0</v>
      </c>
      <c r="AD25" s="107"/>
    </row>
    <row r="26" spans="1:30" ht="14.25" thickBot="1" thickTop="1">
      <c r="A26" s="20">
        <v>36144</v>
      </c>
      <c r="B26" s="22" t="s">
        <v>820</v>
      </c>
      <c r="C26" s="21" t="s">
        <v>790</v>
      </c>
      <c r="D26" s="21" t="s">
        <v>107</v>
      </c>
      <c r="E26" s="46"/>
      <c r="F26" s="46"/>
      <c r="G26" s="46"/>
      <c r="H26" s="46">
        <v>22250</v>
      </c>
      <c r="I26" s="46">
        <v>40</v>
      </c>
      <c r="J26" s="46">
        <v>0</v>
      </c>
      <c r="K26" s="46">
        <v>8</v>
      </c>
      <c r="L26" s="46"/>
      <c r="M26" s="47"/>
      <c r="N26" s="47"/>
      <c r="O26" s="47"/>
      <c r="P26" s="47"/>
      <c r="Q26" s="47"/>
      <c r="R26" s="47"/>
      <c r="S26" s="47"/>
      <c r="T26" s="47"/>
      <c r="U26" s="47"/>
      <c r="V26" s="29"/>
      <c r="W26" s="112"/>
      <c r="X26" s="112"/>
      <c r="Y26" s="112"/>
      <c r="Z26" s="112"/>
      <c r="AA26" s="112"/>
      <c r="AB26" s="112"/>
      <c r="AC26" s="113">
        <f t="shared" si="0"/>
        <v>0</v>
      </c>
      <c r="AD26" s="107"/>
    </row>
    <row r="27" spans="1:30" ht="14.25" thickBot="1" thickTop="1">
      <c r="A27" s="20">
        <v>36067</v>
      </c>
      <c r="B27" s="22" t="s">
        <v>820</v>
      </c>
      <c r="C27" s="21" t="s">
        <v>798</v>
      </c>
      <c r="D27" s="21" t="s">
        <v>891</v>
      </c>
      <c r="E27" s="46"/>
      <c r="F27" s="46"/>
      <c r="G27" s="46"/>
      <c r="H27" s="46">
        <v>28973</v>
      </c>
      <c r="I27" s="46">
        <v>3</v>
      </c>
      <c r="J27" s="46">
        <v>0</v>
      </c>
      <c r="K27" s="46">
        <v>1</v>
      </c>
      <c r="L27" s="46"/>
      <c r="M27" s="47"/>
      <c r="N27" s="47"/>
      <c r="O27" s="47"/>
      <c r="P27" s="47"/>
      <c r="Q27" s="47"/>
      <c r="R27" s="47"/>
      <c r="S27" s="47"/>
      <c r="T27" s="47"/>
      <c r="U27" s="47"/>
      <c r="V27" s="29"/>
      <c r="W27" s="112"/>
      <c r="X27" s="112"/>
      <c r="Y27" s="112"/>
      <c r="Z27" s="112"/>
      <c r="AA27" s="112"/>
      <c r="AB27" s="112"/>
      <c r="AC27" s="113">
        <f t="shared" si="0"/>
        <v>0</v>
      </c>
      <c r="AD27" s="107" t="s">
        <v>799</v>
      </c>
    </row>
    <row r="28" spans="1:30" ht="14.25" thickBot="1" thickTop="1">
      <c r="A28" s="20">
        <v>36130</v>
      </c>
      <c r="B28" s="22" t="s">
        <v>820</v>
      </c>
      <c r="C28" s="21" t="s">
        <v>800</v>
      </c>
      <c r="D28" s="21" t="s">
        <v>821</v>
      </c>
      <c r="E28" s="46"/>
      <c r="F28" s="46"/>
      <c r="G28" s="46"/>
      <c r="H28" s="46">
        <v>27038</v>
      </c>
      <c r="I28" s="46">
        <f>150*5</f>
        <v>750</v>
      </c>
      <c r="J28" s="46">
        <v>0</v>
      </c>
      <c r="K28" s="46">
        <v>150</v>
      </c>
      <c r="L28" s="46"/>
      <c r="M28" s="47"/>
      <c r="N28" s="47"/>
      <c r="O28" s="47"/>
      <c r="P28" s="47"/>
      <c r="Q28" s="47"/>
      <c r="R28" s="47"/>
      <c r="S28" s="47"/>
      <c r="T28" s="47"/>
      <c r="U28" s="47"/>
      <c r="V28" s="29"/>
      <c r="W28" s="112"/>
      <c r="X28" s="112"/>
      <c r="Y28" s="112"/>
      <c r="Z28" s="112"/>
      <c r="AA28" s="112"/>
      <c r="AB28" s="112"/>
      <c r="AC28" s="113">
        <f t="shared" si="0"/>
        <v>0</v>
      </c>
      <c r="AD28" s="107" t="s">
        <v>277</v>
      </c>
    </row>
    <row r="29" spans="1:30" ht="14.25" thickBot="1" thickTop="1">
      <c r="A29" s="20">
        <v>35932</v>
      </c>
      <c r="B29" s="22" t="s">
        <v>820</v>
      </c>
      <c r="C29" s="21" t="s">
        <v>193</v>
      </c>
      <c r="D29" s="21" t="s">
        <v>891</v>
      </c>
      <c r="E29" s="46">
        <v>3</v>
      </c>
      <c r="F29" s="46">
        <v>2</v>
      </c>
      <c r="G29" s="46"/>
      <c r="H29" s="46">
        <v>38956</v>
      </c>
      <c r="I29" s="46">
        <v>5</v>
      </c>
      <c r="J29" s="46">
        <v>0</v>
      </c>
      <c r="K29" s="46">
        <v>1</v>
      </c>
      <c r="L29" s="46">
        <v>1</v>
      </c>
      <c r="M29" s="47"/>
      <c r="N29" s="47"/>
      <c r="O29" s="47"/>
      <c r="P29" s="47"/>
      <c r="Q29" s="47"/>
      <c r="R29" s="47"/>
      <c r="S29" s="47"/>
      <c r="T29" s="47"/>
      <c r="U29" s="47"/>
      <c r="V29" s="29"/>
      <c r="W29" s="112"/>
      <c r="X29" s="112"/>
      <c r="Y29" s="112"/>
      <c r="Z29" s="112"/>
      <c r="AA29" s="112"/>
      <c r="AB29" s="112"/>
      <c r="AC29" s="113">
        <f t="shared" si="0"/>
        <v>0</v>
      </c>
      <c r="AD29" s="107" t="s">
        <v>194</v>
      </c>
    </row>
    <row r="30" spans="1:30" ht="14.25" thickBot="1" thickTop="1">
      <c r="A30" s="20">
        <v>36143</v>
      </c>
      <c r="B30" s="22" t="s">
        <v>820</v>
      </c>
      <c r="C30" s="21" t="s">
        <v>193</v>
      </c>
      <c r="D30" s="21" t="s">
        <v>891</v>
      </c>
      <c r="E30" s="46"/>
      <c r="F30" s="46"/>
      <c r="G30" s="46"/>
      <c r="H30" s="46">
        <v>38956</v>
      </c>
      <c r="I30" s="46">
        <v>80</v>
      </c>
      <c r="J30" s="46">
        <v>0</v>
      </c>
      <c r="K30" s="46">
        <v>20</v>
      </c>
      <c r="L30" s="46">
        <v>1</v>
      </c>
      <c r="M30" s="47"/>
      <c r="N30" s="47"/>
      <c r="O30" s="47"/>
      <c r="P30" s="47"/>
      <c r="Q30" s="47"/>
      <c r="R30" s="47"/>
      <c r="S30" s="47"/>
      <c r="T30" s="47"/>
      <c r="U30" s="47"/>
      <c r="V30" s="29"/>
      <c r="W30" s="112"/>
      <c r="X30" s="112"/>
      <c r="Y30" s="112"/>
      <c r="Z30" s="112"/>
      <c r="AA30" s="112"/>
      <c r="AB30" s="112"/>
      <c r="AC30" s="113">
        <f t="shared" si="0"/>
        <v>0</v>
      </c>
      <c r="AD30" s="107"/>
    </row>
    <row r="31" spans="1:31" ht="14.25" thickBot="1" thickTop="1">
      <c r="A31" s="20">
        <v>36099</v>
      </c>
      <c r="B31" s="22" t="s">
        <v>820</v>
      </c>
      <c r="C31" s="21" t="s">
        <v>179</v>
      </c>
      <c r="D31" s="21" t="s">
        <v>821</v>
      </c>
      <c r="E31" s="46"/>
      <c r="F31" s="46"/>
      <c r="G31" s="46"/>
      <c r="H31" s="46"/>
      <c r="I31" s="46">
        <v>191</v>
      </c>
      <c r="J31" s="46">
        <v>191</v>
      </c>
      <c r="K31" s="46">
        <v>43</v>
      </c>
      <c r="L31" s="46">
        <v>4</v>
      </c>
      <c r="M31" s="47">
        <v>26</v>
      </c>
      <c r="N31" s="47">
        <v>1</v>
      </c>
      <c r="O31" s="47">
        <v>1</v>
      </c>
      <c r="P31" s="47"/>
      <c r="Q31" s="47">
        <v>1</v>
      </c>
      <c r="R31" s="47"/>
      <c r="S31" s="47"/>
      <c r="T31" s="47"/>
      <c r="U31" s="47"/>
      <c r="V31" s="29"/>
      <c r="W31" s="112"/>
      <c r="X31" s="112">
        <v>644000</v>
      </c>
      <c r="Y31" s="112"/>
      <c r="Z31" s="112"/>
      <c r="AA31" s="112"/>
      <c r="AB31" s="112"/>
      <c r="AC31" s="113">
        <f t="shared" si="0"/>
        <v>644000</v>
      </c>
      <c r="AD31" s="107" t="s">
        <v>445</v>
      </c>
      <c r="AE31" s="4" t="s">
        <v>594</v>
      </c>
    </row>
    <row r="32" spans="1:30" ht="14.25" thickBot="1" thickTop="1">
      <c r="A32" s="20">
        <v>36094</v>
      </c>
      <c r="B32" s="22" t="s">
        <v>820</v>
      </c>
      <c r="C32" s="21" t="s">
        <v>202</v>
      </c>
      <c r="D32" s="21" t="s">
        <v>891</v>
      </c>
      <c r="E32" s="46">
        <v>2</v>
      </c>
      <c r="F32" s="46">
        <v>1</v>
      </c>
      <c r="G32" s="46"/>
      <c r="H32" s="46"/>
      <c r="I32" s="46">
        <v>5</v>
      </c>
      <c r="J32" s="46">
        <v>0</v>
      </c>
      <c r="K32" s="46">
        <v>1</v>
      </c>
      <c r="L32" s="46">
        <v>1</v>
      </c>
      <c r="M32" s="47"/>
      <c r="N32" s="47"/>
      <c r="O32" s="47"/>
      <c r="P32" s="47"/>
      <c r="Q32" s="47"/>
      <c r="R32" s="47"/>
      <c r="S32" s="47"/>
      <c r="T32" s="47"/>
      <c r="U32" s="47"/>
      <c r="V32" s="29"/>
      <c r="W32" s="112"/>
      <c r="X32" s="112"/>
      <c r="Y32" s="112"/>
      <c r="Z32" s="112"/>
      <c r="AA32" s="112"/>
      <c r="AB32" s="112"/>
      <c r="AC32" s="113">
        <f t="shared" si="0"/>
        <v>0</v>
      </c>
      <c r="AD32" s="107" t="s">
        <v>614</v>
      </c>
    </row>
    <row r="33" spans="1:30" ht="18" thickBot="1" thickTop="1">
      <c r="A33" s="20">
        <v>36132</v>
      </c>
      <c r="B33" s="22" t="s">
        <v>820</v>
      </c>
      <c r="C33" s="21" t="s">
        <v>783</v>
      </c>
      <c r="D33" s="21" t="s">
        <v>821</v>
      </c>
      <c r="E33" s="46"/>
      <c r="F33" s="46"/>
      <c r="G33" s="46"/>
      <c r="H33" s="46">
        <v>2329</v>
      </c>
      <c r="I33" s="46">
        <f>191+36+40</f>
        <v>267</v>
      </c>
      <c r="J33" s="46">
        <v>0</v>
      </c>
      <c r="K33" s="46">
        <f>42+6+11</f>
        <v>59</v>
      </c>
      <c r="L33" s="46"/>
      <c r="M33" s="47"/>
      <c r="N33" s="47"/>
      <c r="O33" s="47"/>
      <c r="P33" s="47"/>
      <c r="Q33" s="47"/>
      <c r="R33" s="47"/>
      <c r="S33" s="47"/>
      <c r="T33" s="47"/>
      <c r="U33" s="47"/>
      <c r="V33" s="29"/>
      <c r="W33" s="112"/>
      <c r="X33" s="112"/>
      <c r="Y33" s="112"/>
      <c r="Z33" s="112"/>
      <c r="AA33" s="112"/>
      <c r="AB33" s="112"/>
      <c r="AC33" s="113">
        <f t="shared" si="0"/>
        <v>0</v>
      </c>
      <c r="AD33" s="107" t="s">
        <v>787</v>
      </c>
    </row>
    <row r="34" spans="1:30" ht="14.25" thickBot="1" thickTop="1">
      <c r="A34" s="20">
        <v>35932</v>
      </c>
      <c r="B34" s="22" t="s">
        <v>820</v>
      </c>
      <c r="C34" s="21" t="s">
        <v>199</v>
      </c>
      <c r="D34" s="21" t="s">
        <v>821</v>
      </c>
      <c r="E34" s="46"/>
      <c r="F34" s="46"/>
      <c r="G34" s="46"/>
      <c r="H34" s="46">
        <v>9463</v>
      </c>
      <c r="I34" s="46">
        <v>125</v>
      </c>
      <c r="J34" s="46">
        <v>0</v>
      </c>
      <c r="K34" s="46">
        <v>25</v>
      </c>
      <c r="L34" s="46"/>
      <c r="M34" s="47"/>
      <c r="N34" s="47"/>
      <c r="O34" s="47"/>
      <c r="P34" s="47"/>
      <c r="Q34" s="47"/>
      <c r="R34" s="47"/>
      <c r="S34" s="47"/>
      <c r="T34" s="47"/>
      <c r="U34" s="47"/>
      <c r="V34" s="29"/>
      <c r="W34" s="112"/>
      <c r="X34" s="112"/>
      <c r="Y34" s="112"/>
      <c r="Z34" s="112"/>
      <c r="AA34" s="112"/>
      <c r="AB34" s="112"/>
      <c r="AC34" s="113">
        <f t="shared" si="0"/>
        <v>0</v>
      </c>
      <c r="AD34" s="107"/>
    </row>
    <row r="35" spans="1:30" ht="14.25" thickBot="1" thickTop="1">
      <c r="A35" s="20">
        <v>36139</v>
      </c>
      <c r="B35" s="22" t="s">
        <v>820</v>
      </c>
      <c r="C35" s="21" t="s">
        <v>180</v>
      </c>
      <c r="D35" s="21" t="s">
        <v>821</v>
      </c>
      <c r="E35" s="46"/>
      <c r="F35" s="46"/>
      <c r="G35" s="46"/>
      <c r="H35" s="46">
        <v>28370</v>
      </c>
      <c r="I35" s="46">
        <v>215</v>
      </c>
      <c r="J35" s="46">
        <v>0</v>
      </c>
      <c r="K35" s="46">
        <v>50</v>
      </c>
      <c r="L35" s="46"/>
      <c r="M35" s="47"/>
      <c r="N35" s="47"/>
      <c r="O35" s="47"/>
      <c r="P35" s="47"/>
      <c r="Q35" s="47"/>
      <c r="R35" s="47"/>
      <c r="S35" s="47"/>
      <c r="T35" s="47"/>
      <c r="U35" s="47"/>
      <c r="V35" s="29"/>
      <c r="W35" s="112"/>
      <c r="X35" s="112"/>
      <c r="Y35" s="112"/>
      <c r="Z35" s="112"/>
      <c r="AA35" s="112"/>
      <c r="AB35" s="112"/>
      <c r="AC35" s="113">
        <f t="shared" si="0"/>
        <v>0</v>
      </c>
      <c r="AD35" s="107" t="s">
        <v>789</v>
      </c>
    </row>
    <row r="36" spans="1:30" ht="18" thickBot="1" thickTop="1">
      <c r="A36" s="20">
        <v>36138</v>
      </c>
      <c r="B36" s="22" t="s">
        <v>820</v>
      </c>
      <c r="C36" s="21" t="s">
        <v>176</v>
      </c>
      <c r="D36" s="21" t="s">
        <v>821</v>
      </c>
      <c r="E36" s="46"/>
      <c r="F36" s="46"/>
      <c r="G36" s="46"/>
      <c r="H36" s="46">
        <v>13104</v>
      </c>
      <c r="I36" s="46">
        <v>506</v>
      </c>
      <c r="J36" s="46">
        <v>506</v>
      </c>
      <c r="K36" s="46">
        <v>133</v>
      </c>
      <c r="L36" s="46"/>
      <c r="M36" s="47"/>
      <c r="N36" s="47"/>
      <c r="O36" s="47"/>
      <c r="P36" s="47"/>
      <c r="Q36" s="47"/>
      <c r="R36" s="47"/>
      <c r="S36" s="47"/>
      <c r="T36" s="47"/>
      <c r="U36" s="47"/>
      <c r="V36" s="29"/>
      <c r="W36" s="112">
        <v>14398314</v>
      </c>
      <c r="X36" s="112">
        <v>2877056</v>
      </c>
      <c r="Y36" s="112"/>
      <c r="Z36" s="112"/>
      <c r="AA36" s="112"/>
      <c r="AB36" s="112"/>
      <c r="AC36" s="113">
        <f t="shared" si="0"/>
        <v>17275370</v>
      </c>
      <c r="AD36" s="107" t="s">
        <v>781</v>
      </c>
    </row>
    <row r="37" spans="1:30" ht="34.5" thickBot="1" thickTop="1">
      <c r="A37" s="20">
        <v>36086</v>
      </c>
      <c r="B37" s="22" t="s">
        <v>820</v>
      </c>
      <c r="C37" s="21" t="s">
        <v>810</v>
      </c>
      <c r="D37" s="21" t="s">
        <v>707</v>
      </c>
      <c r="E37" s="46">
        <v>71</v>
      </c>
      <c r="F37" s="46">
        <v>64</v>
      </c>
      <c r="G37" s="46"/>
      <c r="H37" s="46">
        <v>27344</v>
      </c>
      <c r="I37" s="46">
        <v>1078</v>
      </c>
      <c r="J37" s="46">
        <v>1078</v>
      </c>
      <c r="K37" s="46">
        <v>230</v>
      </c>
      <c r="L37" s="46">
        <v>36</v>
      </c>
      <c r="M37" s="47">
        <v>28</v>
      </c>
      <c r="N37" s="47"/>
      <c r="O37" s="47"/>
      <c r="P37" s="47"/>
      <c r="Q37" s="47"/>
      <c r="R37" s="47"/>
      <c r="S37" s="47"/>
      <c r="T37" s="47"/>
      <c r="U37" s="47"/>
      <c r="V37" s="29"/>
      <c r="W37" s="112">
        <v>3756230.2</v>
      </c>
      <c r="X37" s="112">
        <v>230733.33</v>
      </c>
      <c r="Y37" s="112"/>
      <c r="Z37" s="112"/>
      <c r="AA37" s="112"/>
      <c r="AB37" s="112"/>
      <c r="AC37" s="113">
        <f t="shared" si="0"/>
        <v>3986963.5300000003</v>
      </c>
      <c r="AD37" s="107" t="s">
        <v>729</v>
      </c>
    </row>
    <row r="38" spans="1:30" ht="14.25" thickBot="1" thickTop="1">
      <c r="A38" s="20">
        <v>36008</v>
      </c>
      <c r="B38" s="22" t="s">
        <v>820</v>
      </c>
      <c r="C38" s="21" t="s">
        <v>582</v>
      </c>
      <c r="D38" s="21" t="s">
        <v>911</v>
      </c>
      <c r="E38" s="46"/>
      <c r="F38" s="46"/>
      <c r="G38" s="46"/>
      <c r="H38" s="46">
        <v>78529</v>
      </c>
      <c r="I38" s="46">
        <v>5</v>
      </c>
      <c r="J38" s="46">
        <v>0</v>
      </c>
      <c r="K38" s="46">
        <v>1</v>
      </c>
      <c r="L38" s="46">
        <v>1</v>
      </c>
      <c r="M38" s="47"/>
      <c r="N38" s="47"/>
      <c r="O38" s="47"/>
      <c r="P38" s="47"/>
      <c r="Q38" s="47"/>
      <c r="R38" s="47"/>
      <c r="S38" s="47"/>
      <c r="T38" s="47"/>
      <c r="U38" s="47"/>
      <c r="V38" s="29"/>
      <c r="W38" s="112"/>
      <c r="X38" s="112"/>
      <c r="Y38" s="112"/>
      <c r="Z38" s="112"/>
      <c r="AA38" s="112"/>
      <c r="AB38" s="112"/>
      <c r="AC38" s="113">
        <f t="shared" si="0"/>
        <v>0</v>
      </c>
      <c r="AD38" s="107"/>
    </row>
    <row r="39" spans="1:30" ht="14.25" thickBot="1" thickTop="1">
      <c r="A39" s="38">
        <v>36074</v>
      </c>
      <c r="B39" s="39" t="s">
        <v>820</v>
      </c>
      <c r="C39" s="40" t="s">
        <v>582</v>
      </c>
      <c r="D39" s="40" t="s">
        <v>911</v>
      </c>
      <c r="E39" s="48"/>
      <c r="F39" s="48">
        <v>1</v>
      </c>
      <c r="G39" s="48"/>
      <c r="H39" s="46">
        <v>78529</v>
      </c>
      <c r="I39" s="48">
        <v>23</v>
      </c>
      <c r="J39" s="48">
        <v>0</v>
      </c>
      <c r="K39" s="48">
        <v>3</v>
      </c>
      <c r="L39" s="48"/>
      <c r="M39" s="49"/>
      <c r="N39" s="49"/>
      <c r="O39" s="49"/>
      <c r="P39" s="49"/>
      <c r="Q39" s="49"/>
      <c r="R39" s="49"/>
      <c r="S39" s="49"/>
      <c r="T39" s="49"/>
      <c r="U39" s="49"/>
      <c r="V39" s="41"/>
      <c r="W39" s="114"/>
      <c r="X39" s="115"/>
      <c r="Y39" s="115"/>
      <c r="Z39" s="115"/>
      <c r="AA39" s="115"/>
      <c r="AB39" s="115"/>
      <c r="AC39" s="113">
        <f t="shared" si="0"/>
        <v>0</v>
      </c>
      <c r="AD39" s="108" t="s">
        <v>801</v>
      </c>
    </row>
    <row r="40" spans="1:30" ht="14.25" thickBot="1" thickTop="1">
      <c r="A40" s="38">
        <v>35944</v>
      </c>
      <c r="B40" s="39" t="s">
        <v>820</v>
      </c>
      <c r="C40" s="40" t="s">
        <v>201</v>
      </c>
      <c r="D40" s="40" t="s">
        <v>821</v>
      </c>
      <c r="E40" s="48"/>
      <c r="F40" s="48"/>
      <c r="G40" s="48"/>
      <c r="H40" s="48">
        <v>12118</v>
      </c>
      <c r="I40" s="48">
        <v>42</v>
      </c>
      <c r="J40" s="48">
        <v>0</v>
      </c>
      <c r="K40" s="48">
        <v>12</v>
      </c>
      <c r="L40" s="48"/>
      <c r="M40" s="49"/>
      <c r="N40" s="49"/>
      <c r="O40" s="49"/>
      <c r="P40" s="49"/>
      <c r="Q40" s="49"/>
      <c r="R40" s="49"/>
      <c r="S40" s="49"/>
      <c r="T40" s="49"/>
      <c r="U40" s="49"/>
      <c r="V40" s="41"/>
      <c r="W40" s="115"/>
      <c r="X40" s="115"/>
      <c r="Y40" s="115"/>
      <c r="Z40" s="115"/>
      <c r="AA40" s="115"/>
      <c r="AB40" s="115"/>
      <c r="AC40" s="113">
        <f t="shared" si="0"/>
        <v>0</v>
      </c>
      <c r="AD40" s="108"/>
    </row>
    <row r="41" spans="1:30" ht="24" thickBot="1" thickTop="1">
      <c r="A41" s="38">
        <v>35809</v>
      </c>
      <c r="B41" s="40" t="s">
        <v>820</v>
      </c>
      <c r="C41" s="40" t="s">
        <v>873</v>
      </c>
      <c r="D41" s="40" t="s">
        <v>821</v>
      </c>
      <c r="E41" s="48"/>
      <c r="F41" s="48"/>
      <c r="G41" s="48"/>
      <c r="H41" s="48">
        <v>7219</v>
      </c>
      <c r="I41" s="48">
        <v>25</v>
      </c>
      <c r="J41" s="48">
        <v>0</v>
      </c>
      <c r="K41" s="48">
        <v>5</v>
      </c>
      <c r="L41" s="48">
        <v>1</v>
      </c>
      <c r="M41" s="49">
        <v>4</v>
      </c>
      <c r="N41" s="49"/>
      <c r="O41" s="49"/>
      <c r="P41" s="49"/>
      <c r="Q41" s="49"/>
      <c r="R41" s="49"/>
      <c r="S41" s="49"/>
      <c r="T41" s="49"/>
      <c r="U41" s="49"/>
      <c r="V41" s="41"/>
      <c r="W41" s="115"/>
      <c r="X41" s="115"/>
      <c r="Y41" s="115"/>
      <c r="Z41" s="115"/>
      <c r="AA41" s="115"/>
      <c r="AB41" s="115"/>
      <c r="AC41" s="113">
        <f t="shared" si="0"/>
        <v>0</v>
      </c>
      <c r="AD41" s="108" t="s">
        <v>874</v>
      </c>
    </row>
    <row r="42" spans="1:30" ht="24" thickBot="1" thickTop="1">
      <c r="A42" s="38">
        <v>35849</v>
      </c>
      <c r="B42" s="39" t="s">
        <v>820</v>
      </c>
      <c r="C42" s="40" t="s">
        <v>873</v>
      </c>
      <c r="D42" s="40" t="s">
        <v>821</v>
      </c>
      <c r="E42" s="48"/>
      <c r="F42" s="48"/>
      <c r="G42" s="48"/>
      <c r="H42" s="48">
        <v>7219</v>
      </c>
      <c r="I42" s="48"/>
      <c r="J42" s="48"/>
      <c r="K42" s="48"/>
      <c r="L42" s="48"/>
      <c r="M42" s="49"/>
      <c r="N42" s="49"/>
      <c r="O42" s="49"/>
      <c r="P42" s="49"/>
      <c r="Q42" s="49"/>
      <c r="R42" s="49"/>
      <c r="S42" s="49"/>
      <c r="T42" s="49"/>
      <c r="U42" s="49"/>
      <c r="V42" s="41"/>
      <c r="W42" s="115"/>
      <c r="X42" s="115">
        <v>13800000</v>
      </c>
      <c r="Y42" s="115"/>
      <c r="Z42" s="115"/>
      <c r="AA42" s="115"/>
      <c r="AB42" s="115"/>
      <c r="AC42" s="113">
        <f t="shared" si="0"/>
        <v>13800000</v>
      </c>
      <c r="AD42" s="108"/>
    </row>
    <row r="43" spans="1:30" ht="14.25" thickBot="1" thickTop="1">
      <c r="A43" s="38">
        <v>36043</v>
      </c>
      <c r="B43" s="39" t="s">
        <v>820</v>
      </c>
      <c r="C43" s="40" t="s">
        <v>671</v>
      </c>
      <c r="D43" s="40" t="s">
        <v>891</v>
      </c>
      <c r="E43" s="48"/>
      <c r="F43" s="48"/>
      <c r="G43" s="48"/>
      <c r="H43" s="48">
        <v>32539</v>
      </c>
      <c r="I43" s="48">
        <v>32</v>
      </c>
      <c r="J43" s="48">
        <v>0</v>
      </c>
      <c r="K43" s="48">
        <v>8</v>
      </c>
      <c r="L43" s="48">
        <v>7</v>
      </c>
      <c r="M43" s="49">
        <v>4</v>
      </c>
      <c r="N43" s="49"/>
      <c r="O43" s="49"/>
      <c r="P43" s="49"/>
      <c r="Q43" s="49"/>
      <c r="R43" s="49"/>
      <c r="S43" s="49"/>
      <c r="T43" s="49"/>
      <c r="U43" s="49"/>
      <c r="V43" s="41"/>
      <c r="W43" s="115"/>
      <c r="X43" s="115"/>
      <c r="Y43" s="115"/>
      <c r="Z43" s="115"/>
      <c r="AA43" s="115"/>
      <c r="AB43" s="115"/>
      <c r="AC43" s="113">
        <f t="shared" si="0"/>
        <v>0</v>
      </c>
      <c r="AD43" s="108" t="s">
        <v>672</v>
      </c>
    </row>
    <row r="44" spans="1:30" ht="14.25" thickBot="1" thickTop="1">
      <c r="A44" s="38">
        <v>36059</v>
      </c>
      <c r="B44" s="39" t="s">
        <v>820</v>
      </c>
      <c r="C44" s="40" t="s">
        <v>671</v>
      </c>
      <c r="D44" s="40" t="s">
        <v>891</v>
      </c>
      <c r="E44" s="48">
        <v>2</v>
      </c>
      <c r="F44" s="48"/>
      <c r="G44" s="48"/>
      <c r="H44" s="48">
        <v>32539</v>
      </c>
      <c r="I44" s="48">
        <v>5</v>
      </c>
      <c r="J44" s="48">
        <v>0</v>
      </c>
      <c r="K44" s="48">
        <v>1</v>
      </c>
      <c r="L44" s="48">
        <v>1</v>
      </c>
      <c r="M44" s="49"/>
      <c r="N44" s="49"/>
      <c r="O44" s="49"/>
      <c r="P44" s="49"/>
      <c r="Q44" s="49"/>
      <c r="R44" s="49"/>
      <c r="S44" s="49"/>
      <c r="T44" s="49"/>
      <c r="U44" s="49"/>
      <c r="V44" s="41"/>
      <c r="W44" s="115"/>
      <c r="X44" s="115"/>
      <c r="Y44" s="114"/>
      <c r="Z44" s="115"/>
      <c r="AA44" s="115"/>
      <c r="AB44" s="115"/>
      <c r="AC44" s="113">
        <f t="shared" si="0"/>
        <v>0</v>
      </c>
      <c r="AD44" s="108"/>
    </row>
    <row r="45" spans="1:30" ht="14.25" thickBot="1" thickTop="1">
      <c r="A45" s="38">
        <v>36122</v>
      </c>
      <c r="B45" s="39" t="s">
        <v>820</v>
      </c>
      <c r="C45" s="40" t="s">
        <v>616</v>
      </c>
      <c r="D45" s="40" t="s">
        <v>821</v>
      </c>
      <c r="E45" s="48"/>
      <c r="F45" s="48"/>
      <c r="G45" s="48"/>
      <c r="H45" s="48">
        <v>8824</v>
      </c>
      <c r="I45" s="48">
        <f>600*5</f>
        <v>3000</v>
      </c>
      <c r="J45" s="48">
        <v>0</v>
      </c>
      <c r="K45" s="48">
        <v>600</v>
      </c>
      <c r="L45" s="48"/>
      <c r="M45" s="49"/>
      <c r="N45" s="49"/>
      <c r="O45" s="49"/>
      <c r="P45" s="49"/>
      <c r="Q45" s="49"/>
      <c r="R45" s="49"/>
      <c r="S45" s="49"/>
      <c r="T45" s="49"/>
      <c r="U45" s="49"/>
      <c r="V45" s="41"/>
      <c r="W45" s="115"/>
      <c r="X45" s="115"/>
      <c r="Y45" s="114"/>
      <c r="Z45" s="115"/>
      <c r="AA45" s="115"/>
      <c r="AB45" s="115"/>
      <c r="AC45" s="113">
        <f t="shared" si="0"/>
        <v>0</v>
      </c>
      <c r="AD45" s="108" t="s">
        <v>644</v>
      </c>
    </row>
    <row r="46" spans="1:30" ht="18" thickBot="1" thickTop="1">
      <c r="A46" s="38">
        <v>35952</v>
      </c>
      <c r="B46" s="39" t="s">
        <v>432</v>
      </c>
      <c r="C46" s="40" t="s">
        <v>432</v>
      </c>
      <c r="D46" s="40" t="s">
        <v>821</v>
      </c>
      <c r="E46" s="48"/>
      <c r="F46" s="48"/>
      <c r="G46" s="48"/>
      <c r="H46" s="48">
        <v>39796</v>
      </c>
      <c r="I46" s="48">
        <v>1628</v>
      </c>
      <c r="J46" s="48">
        <v>1628</v>
      </c>
      <c r="K46" s="48">
        <v>324</v>
      </c>
      <c r="L46" s="48"/>
      <c r="M46" s="49"/>
      <c r="N46" s="49">
        <v>11</v>
      </c>
      <c r="O46" s="49"/>
      <c r="P46" s="49"/>
      <c r="Q46" s="49"/>
      <c r="R46" s="49"/>
      <c r="S46" s="49"/>
      <c r="T46" s="49">
        <v>6</v>
      </c>
      <c r="U46" s="49">
        <v>1</v>
      </c>
      <c r="V46" s="41" t="s">
        <v>434</v>
      </c>
      <c r="W46" s="115">
        <v>38108986.57</v>
      </c>
      <c r="X46" s="115">
        <v>7452000</v>
      </c>
      <c r="Y46" s="115"/>
      <c r="Z46" s="115"/>
      <c r="AA46" s="115"/>
      <c r="AB46" s="115"/>
      <c r="AC46" s="113">
        <f t="shared" si="0"/>
        <v>45560986.57</v>
      </c>
      <c r="AD46" s="108" t="s">
        <v>435</v>
      </c>
    </row>
    <row r="47" spans="1:30" ht="14.25" thickBot="1" thickTop="1">
      <c r="A47" s="38">
        <v>35957</v>
      </c>
      <c r="B47" s="39" t="s">
        <v>432</v>
      </c>
      <c r="C47" s="40" t="s">
        <v>447</v>
      </c>
      <c r="D47" s="40" t="s">
        <v>821</v>
      </c>
      <c r="E47" s="48"/>
      <c r="F47" s="48"/>
      <c r="G47" s="48"/>
      <c r="H47" s="48">
        <v>22931</v>
      </c>
      <c r="I47" s="48">
        <v>1250</v>
      </c>
      <c r="J47" s="48">
        <v>1250</v>
      </c>
      <c r="K47" s="48">
        <v>250</v>
      </c>
      <c r="L47" s="48"/>
      <c r="M47" s="49"/>
      <c r="N47" s="49"/>
      <c r="O47" s="49"/>
      <c r="P47" s="49"/>
      <c r="Q47" s="49"/>
      <c r="R47" s="49"/>
      <c r="S47" s="49"/>
      <c r="T47" s="49"/>
      <c r="U47" s="49"/>
      <c r="V47" s="41"/>
      <c r="W47" s="115">
        <v>29247374.62</v>
      </c>
      <c r="X47" s="115">
        <v>5750000</v>
      </c>
      <c r="Y47" s="115"/>
      <c r="Z47" s="115"/>
      <c r="AA47" s="115"/>
      <c r="AB47" s="115"/>
      <c r="AC47" s="113">
        <f aca="true" t="shared" si="1" ref="AC47:AC90">+W47+X47+Y47+Z47+AA47+AB47</f>
        <v>34997374.620000005</v>
      </c>
      <c r="AD47" s="108" t="s">
        <v>449</v>
      </c>
    </row>
    <row r="48" spans="1:30" ht="18" thickBot="1" thickTop="1">
      <c r="A48" s="38">
        <v>35977</v>
      </c>
      <c r="B48" s="39" t="s">
        <v>432</v>
      </c>
      <c r="C48" s="40" t="s">
        <v>497</v>
      </c>
      <c r="D48" s="40" t="s">
        <v>821</v>
      </c>
      <c r="E48" s="48"/>
      <c r="F48" s="48"/>
      <c r="G48" s="48"/>
      <c r="H48" s="48"/>
      <c r="I48" s="48">
        <v>250</v>
      </c>
      <c r="J48" s="48">
        <v>0</v>
      </c>
      <c r="K48" s="48">
        <v>50</v>
      </c>
      <c r="L48" s="48"/>
      <c r="M48" s="49">
        <v>12</v>
      </c>
      <c r="N48" s="49">
        <v>1</v>
      </c>
      <c r="O48" s="49"/>
      <c r="P48" s="49"/>
      <c r="Q48" s="49"/>
      <c r="R48" s="49"/>
      <c r="S48" s="49"/>
      <c r="T48" s="49"/>
      <c r="U48" s="49"/>
      <c r="V48" s="41"/>
      <c r="W48" s="115"/>
      <c r="X48" s="115"/>
      <c r="Y48" s="115"/>
      <c r="Z48" s="115"/>
      <c r="AA48" s="115"/>
      <c r="AB48" s="115"/>
      <c r="AC48" s="113">
        <f t="shared" si="1"/>
        <v>0</v>
      </c>
      <c r="AD48" s="108" t="s">
        <v>498</v>
      </c>
    </row>
    <row r="49" spans="1:30" ht="24" thickBot="1" thickTop="1">
      <c r="A49" s="38">
        <v>35957</v>
      </c>
      <c r="B49" s="39" t="s">
        <v>432</v>
      </c>
      <c r="C49" s="40" t="s">
        <v>450</v>
      </c>
      <c r="D49" s="40" t="s">
        <v>821</v>
      </c>
      <c r="E49" s="48"/>
      <c r="F49" s="48"/>
      <c r="G49" s="48"/>
      <c r="H49" s="48">
        <v>4072</v>
      </c>
      <c r="I49" s="48">
        <v>700</v>
      </c>
      <c r="J49" s="48">
        <v>700</v>
      </c>
      <c r="K49" s="48">
        <v>140</v>
      </c>
      <c r="L49" s="48"/>
      <c r="M49" s="49"/>
      <c r="N49" s="49"/>
      <c r="O49" s="49"/>
      <c r="P49" s="49"/>
      <c r="Q49" s="49"/>
      <c r="R49" s="49"/>
      <c r="S49" s="49"/>
      <c r="T49" s="49"/>
      <c r="U49" s="49"/>
      <c r="V49" s="41"/>
      <c r="W49" s="115">
        <v>16347927.71</v>
      </c>
      <c r="X49" s="115">
        <v>3220000</v>
      </c>
      <c r="Y49" s="115"/>
      <c r="Z49" s="115"/>
      <c r="AA49" s="115"/>
      <c r="AB49" s="115"/>
      <c r="AC49" s="113">
        <f t="shared" si="1"/>
        <v>19567927.71</v>
      </c>
      <c r="AD49" s="108" t="s">
        <v>451</v>
      </c>
    </row>
    <row r="50" spans="1:30" ht="24" thickBot="1" thickTop="1">
      <c r="A50" s="38">
        <v>35968</v>
      </c>
      <c r="B50" s="39" t="s">
        <v>432</v>
      </c>
      <c r="C50" s="40" t="s">
        <v>450</v>
      </c>
      <c r="D50" s="40" t="s">
        <v>911</v>
      </c>
      <c r="E50" s="48"/>
      <c r="F50" s="48"/>
      <c r="G50" s="48"/>
      <c r="H50" s="48">
        <v>4072</v>
      </c>
      <c r="I50" s="48">
        <v>225</v>
      </c>
      <c r="J50" s="48">
        <v>225</v>
      </c>
      <c r="K50" s="48">
        <v>45</v>
      </c>
      <c r="L50" s="48">
        <v>2</v>
      </c>
      <c r="M50" s="49">
        <v>43</v>
      </c>
      <c r="N50" s="49"/>
      <c r="O50" s="49"/>
      <c r="P50" s="49"/>
      <c r="Q50" s="49"/>
      <c r="R50" s="49"/>
      <c r="S50" s="49"/>
      <c r="T50" s="49"/>
      <c r="U50" s="49"/>
      <c r="V50" s="41"/>
      <c r="W50" s="115"/>
      <c r="X50" s="115"/>
      <c r="Y50" s="115">
        <v>3071048.96</v>
      </c>
      <c r="Z50" s="115"/>
      <c r="AA50" s="115"/>
      <c r="AB50" s="115"/>
      <c r="AC50" s="113">
        <f t="shared" si="1"/>
        <v>3071048.96</v>
      </c>
      <c r="AD50" s="108"/>
    </row>
    <row r="51" spans="1:30" ht="26.25" thickBot="1" thickTop="1">
      <c r="A51" s="38">
        <v>35949</v>
      </c>
      <c r="B51" s="39" t="s">
        <v>432</v>
      </c>
      <c r="C51" s="40" t="s">
        <v>436</v>
      </c>
      <c r="D51" s="40" t="s">
        <v>821</v>
      </c>
      <c r="E51" s="48"/>
      <c r="F51" s="48"/>
      <c r="G51" s="48"/>
      <c r="H51" s="48">
        <v>26049</v>
      </c>
      <c r="I51" s="48">
        <v>2630</v>
      </c>
      <c r="J51" s="48">
        <v>2630</v>
      </c>
      <c r="K51" s="48">
        <v>526</v>
      </c>
      <c r="L51" s="48">
        <v>10</v>
      </c>
      <c r="M51" s="49">
        <v>15</v>
      </c>
      <c r="N51" s="49">
        <v>1</v>
      </c>
      <c r="O51" s="49"/>
      <c r="P51" s="49"/>
      <c r="Q51" s="49"/>
      <c r="R51" s="49"/>
      <c r="S51" s="49"/>
      <c r="T51" s="49">
        <v>2</v>
      </c>
      <c r="U51" s="49"/>
      <c r="V51" s="41" t="s">
        <v>446</v>
      </c>
      <c r="W51" s="115">
        <v>62641527.91</v>
      </c>
      <c r="X51" s="115">
        <v>12098000</v>
      </c>
      <c r="Y51" s="115"/>
      <c r="Z51" s="115"/>
      <c r="AA51" s="115"/>
      <c r="AB51" s="115"/>
      <c r="AC51" s="113">
        <f t="shared" si="1"/>
        <v>74739527.91</v>
      </c>
      <c r="AD51" s="108" t="s">
        <v>448</v>
      </c>
    </row>
    <row r="52" spans="1:30" ht="59.25" thickBot="1" thickTop="1">
      <c r="A52" s="38">
        <v>36086</v>
      </c>
      <c r="B52" s="39" t="s">
        <v>203</v>
      </c>
      <c r="C52" s="40" t="s">
        <v>802</v>
      </c>
      <c r="D52" s="40" t="s">
        <v>875</v>
      </c>
      <c r="E52" s="48"/>
      <c r="F52" s="48"/>
      <c r="G52" s="48"/>
      <c r="H52" s="48">
        <v>993759</v>
      </c>
      <c r="I52" s="48">
        <v>3112</v>
      </c>
      <c r="J52" s="48">
        <v>0</v>
      </c>
      <c r="K52" s="48">
        <v>642</v>
      </c>
      <c r="L52" s="48">
        <v>252</v>
      </c>
      <c r="M52" s="49">
        <v>390</v>
      </c>
      <c r="N52" s="49"/>
      <c r="O52" s="49"/>
      <c r="P52" s="49"/>
      <c r="Q52" s="49"/>
      <c r="R52" s="49"/>
      <c r="S52" s="49"/>
      <c r="T52" s="49"/>
      <c r="U52" s="49"/>
      <c r="V52" s="41"/>
      <c r="W52" s="115"/>
      <c r="X52" s="115"/>
      <c r="Y52" s="115"/>
      <c r="Z52" s="115"/>
      <c r="AA52" s="115"/>
      <c r="AB52" s="115"/>
      <c r="AC52" s="113">
        <f t="shared" si="1"/>
        <v>0</v>
      </c>
      <c r="AD52" s="108" t="s">
        <v>674</v>
      </c>
    </row>
    <row r="53" spans="1:30" ht="14.25" thickBot="1" thickTop="1">
      <c r="A53" s="38">
        <v>36088</v>
      </c>
      <c r="B53" s="39" t="s">
        <v>203</v>
      </c>
      <c r="C53" s="40" t="s">
        <v>723</v>
      </c>
      <c r="D53" s="40" t="s">
        <v>821</v>
      </c>
      <c r="E53" s="48"/>
      <c r="F53" s="48"/>
      <c r="G53" s="48"/>
      <c r="H53" s="48">
        <v>993759</v>
      </c>
      <c r="I53" s="48">
        <v>3340</v>
      </c>
      <c r="J53" s="48">
        <v>3340</v>
      </c>
      <c r="K53" s="48">
        <v>689</v>
      </c>
      <c r="L53" s="48">
        <v>277</v>
      </c>
      <c r="M53" s="49">
        <v>412</v>
      </c>
      <c r="N53" s="49"/>
      <c r="O53" s="49"/>
      <c r="P53" s="49"/>
      <c r="Q53" s="49"/>
      <c r="R53" s="49"/>
      <c r="S53" s="49"/>
      <c r="T53" s="49"/>
      <c r="U53" s="49"/>
      <c r="V53" s="41"/>
      <c r="W53" s="115">
        <v>55862127.199999996</v>
      </c>
      <c r="X53" s="115">
        <v>15847000</v>
      </c>
      <c r="Y53" s="115"/>
      <c r="Z53" s="115"/>
      <c r="AA53" s="115"/>
      <c r="AB53" s="115"/>
      <c r="AC53" s="113">
        <f t="shared" si="1"/>
        <v>71709127.19999999</v>
      </c>
      <c r="AD53" s="108" t="s">
        <v>679</v>
      </c>
    </row>
    <row r="54" spans="1:30" ht="18" thickBot="1" thickTop="1">
      <c r="A54" s="38">
        <v>36088</v>
      </c>
      <c r="B54" s="39" t="s">
        <v>203</v>
      </c>
      <c r="C54" s="40" t="s">
        <v>796</v>
      </c>
      <c r="D54" s="40" t="s">
        <v>821</v>
      </c>
      <c r="E54" s="48"/>
      <c r="F54" s="48"/>
      <c r="G54" s="48"/>
      <c r="H54" s="48">
        <v>18046</v>
      </c>
      <c r="I54" s="48">
        <v>305</v>
      </c>
      <c r="J54" s="48">
        <v>305</v>
      </c>
      <c r="K54" s="48">
        <v>61</v>
      </c>
      <c r="L54" s="48"/>
      <c r="M54" s="49">
        <v>61</v>
      </c>
      <c r="N54" s="49">
        <v>2</v>
      </c>
      <c r="O54" s="49">
        <v>3</v>
      </c>
      <c r="P54" s="49"/>
      <c r="Q54" s="49">
        <v>1</v>
      </c>
      <c r="R54" s="49"/>
      <c r="S54" s="49"/>
      <c r="T54" s="49"/>
      <c r="U54" s="49"/>
      <c r="V54" s="41"/>
      <c r="W54" s="115">
        <v>10916167.79</v>
      </c>
      <c r="X54" s="115">
        <v>1403000</v>
      </c>
      <c r="Y54" s="115"/>
      <c r="Z54" s="115"/>
      <c r="AA54" s="115"/>
      <c r="AB54" s="115"/>
      <c r="AC54" s="113">
        <f t="shared" si="1"/>
        <v>12319167.79</v>
      </c>
      <c r="AD54" s="108" t="s">
        <v>678</v>
      </c>
    </row>
    <row r="55" spans="1:30" ht="18" thickBot="1" thickTop="1">
      <c r="A55" s="38">
        <v>36156</v>
      </c>
      <c r="B55" s="39" t="s">
        <v>203</v>
      </c>
      <c r="C55" s="40" t="s">
        <v>796</v>
      </c>
      <c r="D55" s="40" t="s">
        <v>707</v>
      </c>
      <c r="E55" s="48">
        <v>11</v>
      </c>
      <c r="F55" s="48">
        <v>70</v>
      </c>
      <c r="G55" s="48"/>
      <c r="H55" s="48">
        <v>18046</v>
      </c>
      <c r="I55" s="48">
        <v>130</v>
      </c>
      <c r="J55" s="48">
        <v>130</v>
      </c>
      <c r="K55" s="48">
        <v>30</v>
      </c>
      <c r="L55" s="48">
        <v>6</v>
      </c>
      <c r="M55" s="49">
        <v>24</v>
      </c>
      <c r="N55" s="49"/>
      <c r="O55" s="49"/>
      <c r="P55" s="49"/>
      <c r="Q55" s="49"/>
      <c r="R55" s="49"/>
      <c r="S55" s="49"/>
      <c r="T55" s="49"/>
      <c r="U55" s="49"/>
      <c r="V55" s="41"/>
      <c r="W55" s="115">
        <v>3196794</v>
      </c>
      <c r="X55" s="115">
        <v>648960</v>
      </c>
      <c r="Y55" s="115"/>
      <c r="Z55" s="115"/>
      <c r="AA55" s="115"/>
      <c r="AB55" s="115"/>
      <c r="AC55" s="113">
        <f t="shared" si="1"/>
        <v>3845754</v>
      </c>
      <c r="AD55" s="108" t="s">
        <v>786</v>
      </c>
    </row>
    <row r="56" spans="1:30" ht="14.25" thickBot="1" thickTop="1">
      <c r="A56" s="38">
        <v>35920</v>
      </c>
      <c r="B56" s="39" t="s">
        <v>203</v>
      </c>
      <c r="C56" s="40" t="s">
        <v>204</v>
      </c>
      <c r="D56" s="40" t="s">
        <v>821</v>
      </c>
      <c r="E56" s="48"/>
      <c r="F56" s="48"/>
      <c r="G56" s="48"/>
      <c r="H56" s="48">
        <v>71925</v>
      </c>
      <c r="I56" s="48">
        <v>225</v>
      </c>
      <c r="J56" s="48">
        <v>225</v>
      </c>
      <c r="K56" s="48">
        <v>45</v>
      </c>
      <c r="L56" s="48"/>
      <c r="M56" s="49"/>
      <c r="N56" s="49"/>
      <c r="O56" s="49"/>
      <c r="P56" s="49"/>
      <c r="Q56" s="49"/>
      <c r="R56" s="49"/>
      <c r="S56" s="49"/>
      <c r="T56" s="49"/>
      <c r="U56" s="49"/>
      <c r="V56" s="41"/>
      <c r="W56" s="115">
        <v>5941011.7</v>
      </c>
      <c r="X56" s="115"/>
      <c r="Y56" s="115"/>
      <c r="Z56" s="115"/>
      <c r="AA56" s="115"/>
      <c r="AB56" s="115"/>
      <c r="AC56" s="113">
        <f t="shared" si="1"/>
        <v>5941011.7</v>
      </c>
      <c r="AD56" s="108" t="s">
        <v>205</v>
      </c>
    </row>
    <row r="57" spans="1:31" ht="14.25" thickBot="1" thickTop="1">
      <c r="A57" s="38">
        <v>36098</v>
      </c>
      <c r="B57" s="39" t="s">
        <v>203</v>
      </c>
      <c r="C57" s="40" t="s">
        <v>442</v>
      </c>
      <c r="D57" s="40" t="s">
        <v>821</v>
      </c>
      <c r="E57" s="48"/>
      <c r="F57" s="48"/>
      <c r="G57" s="48"/>
      <c r="H57" s="48">
        <v>10684</v>
      </c>
      <c r="I57" s="48">
        <v>260</v>
      </c>
      <c r="J57" s="48">
        <v>260</v>
      </c>
      <c r="K57" s="48">
        <v>53</v>
      </c>
      <c r="L57" s="48"/>
      <c r="M57" s="49">
        <v>15</v>
      </c>
      <c r="N57" s="49">
        <v>10</v>
      </c>
      <c r="O57" s="49">
        <v>2</v>
      </c>
      <c r="P57" s="49"/>
      <c r="Q57" s="49"/>
      <c r="R57" s="49"/>
      <c r="S57" s="49"/>
      <c r="T57" s="49"/>
      <c r="U57" s="49"/>
      <c r="V57" s="41" t="s">
        <v>94</v>
      </c>
      <c r="W57" s="115">
        <v>4197147.1</v>
      </c>
      <c r="X57" s="115">
        <v>1219000</v>
      </c>
      <c r="Y57" s="115"/>
      <c r="Z57" s="115"/>
      <c r="AA57" s="115"/>
      <c r="AB57" s="115"/>
      <c r="AC57" s="113">
        <f t="shared" si="1"/>
        <v>5416147.1</v>
      </c>
      <c r="AD57" s="108"/>
      <c r="AE57" s="4" t="s">
        <v>594</v>
      </c>
    </row>
    <row r="58" spans="1:30" ht="34.5" thickBot="1" thickTop="1">
      <c r="A58" s="38">
        <v>36088</v>
      </c>
      <c r="B58" s="39" t="s">
        <v>203</v>
      </c>
      <c r="C58" s="40" t="s">
        <v>794</v>
      </c>
      <c r="D58" s="40" t="s">
        <v>821</v>
      </c>
      <c r="E58" s="48"/>
      <c r="F58" s="48"/>
      <c r="G58" s="48"/>
      <c r="H58" s="48">
        <v>18129</v>
      </c>
      <c r="I58" s="48">
        <v>364</v>
      </c>
      <c r="J58" s="48">
        <v>364</v>
      </c>
      <c r="K58" s="48">
        <v>58</v>
      </c>
      <c r="L58" s="48"/>
      <c r="M58" s="49">
        <v>18</v>
      </c>
      <c r="N58" s="49">
        <v>4</v>
      </c>
      <c r="O58" s="49"/>
      <c r="P58" s="49"/>
      <c r="Q58" s="49"/>
      <c r="R58" s="49"/>
      <c r="S58" s="49"/>
      <c r="T58" s="49"/>
      <c r="U58" s="49"/>
      <c r="V58" s="41" t="s">
        <v>795</v>
      </c>
      <c r="W58" s="115">
        <v>10482305.179999998</v>
      </c>
      <c r="X58" s="115">
        <v>1334000</v>
      </c>
      <c r="Y58" s="115"/>
      <c r="Z58" s="115"/>
      <c r="AA58" s="115"/>
      <c r="AB58" s="115"/>
      <c r="AC58" s="113">
        <f t="shared" si="1"/>
        <v>11816305.179999998</v>
      </c>
      <c r="AD58" s="108" t="s">
        <v>677</v>
      </c>
    </row>
    <row r="59" spans="1:30" ht="14.25" thickBot="1" thickTop="1">
      <c r="A59" s="38">
        <v>36139</v>
      </c>
      <c r="B59" s="39" t="s">
        <v>203</v>
      </c>
      <c r="C59" s="40" t="s">
        <v>794</v>
      </c>
      <c r="D59" s="40" t="s">
        <v>821</v>
      </c>
      <c r="E59" s="48"/>
      <c r="F59" s="48"/>
      <c r="G59" s="48"/>
      <c r="H59" s="48">
        <v>18129</v>
      </c>
      <c r="I59" s="48">
        <f>70*5</f>
        <v>350</v>
      </c>
      <c r="J59" s="48">
        <f>70*5</f>
        <v>350</v>
      </c>
      <c r="K59" s="48">
        <v>70</v>
      </c>
      <c r="L59" s="48"/>
      <c r="M59" s="49"/>
      <c r="N59" s="49"/>
      <c r="O59" s="49"/>
      <c r="P59" s="49"/>
      <c r="Q59" s="49"/>
      <c r="R59" s="49"/>
      <c r="S59" s="49"/>
      <c r="T59" s="49"/>
      <c r="U59" s="49"/>
      <c r="V59" s="41"/>
      <c r="W59" s="115">
        <v>7459186</v>
      </c>
      <c r="X59" s="115">
        <v>1514240</v>
      </c>
      <c r="Y59" s="115"/>
      <c r="Z59" s="115"/>
      <c r="AA59" s="115"/>
      <c r="AB59" s="115"/>
      <c r="AC59" s="113">
        <f t="shared" si="1"/>
        <v>8973426</v>
      </c>
      <c r="AD59" s="108" t="s">
        <v>110</v>
      </c>
    </row>
    <row r="60" spans="1:31" ht="14.25" thickBot="1" thickTop="1">
      <c r="A60" s="38">
        <v>36098</v>
      </c>
      <c r="B60" s="39" t="s">
        <v>203</v>
      </c>
      <c r="C60" s="40" t="s">
        <v>444</v>
      </c>
      <c r="D60" s="40" t="s">
        <v>821</v>
      </c>
      <c r="E60" s="48"/>
      <c r="F60" s="48"/>
      <c r="G60" s="48"/>
      <c r="H60" s="48">
        <v>9505</v>
      </c>
      <c r="I60" s="48">
        <v>435</v>
      </c>
      <c r="J60" s="48">
        <v>435</v>
      </c>
      <c r="K60" s="48">
        <v>87</v>
      </c>
      <c r="L60" s="48"/>
      <c r="M60" s="49"/>
      <c r="N60" s="49"/>
      <c r="O60" s="49"/>
      <c r="P60" s="49"/>
      <c r="Q60" s="49"/>
      <c r="R60" s="49"/>
      <c r="S60" s="49"/>
      <c r="T60" s="49"/>
      <c r="U60" s="49"/>
      <c r="V60" s="41" t="s">
        <v>94</v>
      </c>
      <c r="W60" s="115">
        <v>6593294.1</v>
      </c>
      <c r="X60" s="115">
        <v>2001000</v>
      </c>
      <c r="Y60" s="115"/>
      <c r="Z60" s="115"/>
      <c r="AA60" s="115"/>
      <c r="AB60" s="115"/>
      <c r="AC60" s="113">
        <f t="shared" si="1"/>
        <v>8594294.1</v>
      </c>
      <c r="AD60" s="108"/>
      <c r="AE60" s="4" t="s">
        <v>594</v>
      </c>
    </row>
    <row r="61" spans="1:30" ht="34.5" thickBot="1" thickTop="1">
      <c r="A61" s="38">
        <v>36139</v>
      </c>
      <c r="B61" s="39" t="s">
        <v>59</v>
      </c>
      <c r="C61" s="40" t="s">
        <v>501</v>
      </c>
      <c r="D61" s="40" t="s">
        <v>821</v>
      </c>
      <c r="E61" s="48"/>
      <c r="F61" s="48"/>
      <c r="G61" s="48"/>
      <c r="H61" s="48">
        <v>27277</v>
      </c>
      <c r="I61" s="48">
        <v>3000</v>
      </c>
      <c r="J61" s="48">
        <v>3000</v>
      </c>
      <c r="K61" s="48">
        <v>600</v>
      </c>
      <c r="L61" s="48"/>
      <c r="M61" s="49"/>
      <c r="N61" s="49"/>
      <c r="O61" s="49"/>
      <c r="P61" s="49"/>
      <c r="Q61" s="49"/>
      <c r="R61" s="49"/>
      <c r="S61" s="49"/>
      <c r="T61" s="49"/>
      <c r="U61" s="49"/>
      <c r="V61" s="41"/>
      <c r="W61" s="115">
        <v>56774498</v>
      </c>
      <c r="X61" s="115">
        <v>12439200</v>
      </c>
      <c r="Y61" s="115">
        <v>1026600</v>
      </c>
      <c r="Z61" s="115">
        <v>2204000</v>
      </c>
      <c r="AA61" s="115"/>
      <c r="AB61" s="115"/>
      <c r="AC61" s="113">
        <f t="shared" si="1"/>
        <v>72444298</v>
      </c>
      <c r="AD61" s="108" t="s">
        <v>247</v>
      </c>
    </row>
    <row r="62" spans="1:30" ht="14.25" thickBot="1" thickTop="1">
      <c r="A62" s="38">
        <v>35919</v>
      </c>
      <c r="B62" s="39" t="s">
        <v>59</v>
      </c>
      <c r="C62" s="40" t="s">
        <v>207</v>
      </c>
      <c r="D62" s="40" t="s">
        <v>821</v>
      </c>
      <c r="E62" s="48"/>
      <c r="F62" s="48"/>
      <c r="G62" s="48"/>
      <c r="H62" s="48"/>
      <c r="I62" s="48">
        <v>336</v>
      </c>
      <c r="J62" s="48">
        <v>336</v>
      </c>
      <c r="K62" s="48">
        <v>56</v>
      </c>
      <c r="L62" s="48"/>
      <c r="M62" s="49"/>
      <c r="N62" s="49"/>
      <c r="O62" s="49"/>
      <c r="P62" s="49"/>
      <c r="Q62" s="49"/>
      <c r="R62" s="49"/>
      <c r="S62" s="49"/>
      <c r="T62" s="49"/>
      <c r="U62" s="49"/>
      <c r="V62" s="41" t="s">
        <v>208</v>
      </c>
      <c r="W62" s="115">
        <v>1978620.56</v>
      </c>
      <c r="X62" s="115">
        <v>1288000</v>
      </c>
      <c r="Y62" s="115"/>
      <c r="Z62" s="115"/>
      <c r="AA62" s="115"/>
      <c r="AB62" s="115"/>
      <c r="AC62" s="113">
        <f t="shared" si="1"/>
        <v>3266620.56</v>
      </c>
      <c r="AD62" s="108"/>
    </row>
    <row r="63" spans="1:30" ht="14.25" thickBot="1" thickTop="1">
      <c r="A63" s="38">
        <v>35958</v>
      </c>
      <c r="B63" s="39" t="s">
        <v>59</v>
      </c>
      <c r="C63" s="40" t="s">
        <v>207</v>
      </c>
      <c r="D63" s="40" t="s">
        <v>821</v>
      </c>
      <c r="E63" s="48"/>
      <c r="F63" s="48"/>
      <c r="G63" s="48"/>
      <c r="H63" s="48"/>
      <c r="I63" s="48"/>
      <c r="J63" s="48"/>
      <c r="K63" s="48"/>
      <c r="L63" s="48"/>
      <c r="M63" s="49"/>
      <c r="N63" s="49"/>
      <c r="O63" s="49"/>
      <c r="P63" s="49"/>
      <c r="Q63" s="49"/>
      <c r="R63" s="49"/>
      <c r="S63" s="49"/>
      <c r="T63" s="49"/>
      <c r="U63" s="49"/>
      <c r="V63" s="41"/>
      <c r="W63" s="115">
        <v>70713846</v>
      </c>
      <c r="X63" s="115">
        <v>8050000</v>
      </c>
      <c r="Y63" s="115"/>
      <c r="Z63" s="115"/>
      <c r="AA63" s="115"/>
      <c r="AB63" s="115"/>
      <c r="AC63" s="113">
        <f t="shared" si="1"/>
        <v>78763846</v>
      </c>
      <c r="AD63" s="108" t="s">
        <v>454</v>
      </c>
    </row>
    <row r="64" spans="1:30" ht="14.25" thickBot="1" thickTop="1">
      <c r="A64" s="38">
        <v>36103</v>
      </c>
      <c r="B64" s="39" t="s">
        <v>59</v>
      </c>
      <c r="C64" s="40" t="s">
        <v>358</v>
      </c>
      <c r="D64" s="40" t="s">
        <v>821</v>
      </c>
      <c r="E64" s="48"/>
      <c r="F64" s="48"/>
      <c r="G64" s="48"/>
      <c r="H64" s="48">
        <v>20588</v>
      </c>
      <c r="I64" s="48"/>
      <c r="J64" s="48"/>
      <c r="K64" s="48"/>
      <c r="L64" s="48"/>
      <c r="M64" s="49"/>
      <c r="N64" s="49"/>
      <c r="O64" s="49"/>
      <c r="P64" s="49"/>
      <c r="Q64" s="49"/>
      <c r="R64" s="49"/>
      <c r="S64" s="49"/>
      <c r="T64" s="49"/>
      <c r="U64" s="49"/>
      <c r="V64" s="41"/>
      <c r="W64" s="115"/>
      <c r="X64" s="115"/>
      <c r="Y64" s="115"/>
      <c r="Z64" s="115">
        <v>881600</v>
      </c>
      <c r="AA64" s="115"/>
      <c r="AB64" s="115"/>
      <c r="AC64" s="113">
        <f t="shared" si="1"/>
        <v>881600</v>
      </c>
      <c r="AD64" s="108" t="s">
        <v>294</v>
      </c>
    </row>
    <row r="65" spans="1:30" ht="24" thickBot="1" thickTop="1">
      <c r="A65" s="38">
        <v>35985</v>
      </c>
      <c r="B65" s="39" t="s">
        <v>59</v>
      </c>
      <c r="C65" s="40" t="s">
        <v>503</v>
      </c>
      <c r="D65" s="40" t="s">
        <v>821</v>
      </c>
      <c r="E65" s="48"/>
      <c r="F65" s="48"/>
      <c r="G65" s="48"/>
      <c r="H65" s="48">
        <v>62355</v>
      </c>
      <c r="I65" s="48">
        <v>650</v>
      </c>
      <c r="J65" s="48">
        <v>650</v>
      </c>
      <c r="K65" s="48">
        <v>130</v>
      </c>
      <c r="L65" s="48"/>
      <c r="M65" s="49">
        <v>50</v>
      </c>
      <c r="N65" s="49"/>
      <c r="O65" s="49"/>
      <c r="P65" s="49"/>
      <c r="Q65" s="49"/>
      <c r="R65" s="49"/>
      <c r="S65" s="49"/>
      <c r="T65" s="49"/>
      <c r="U65" s="49"/>
      <c r="V65" s="41" t="s">
        <v>504</v>
      </c>
      <c r="W65" s="115">
        <v>9264183.5</v>
      </c>
      <c r="X65" s="115"/>
      <c r="Y65" s="115"/>
      <c r="Z65" s="115">
        <v>1322400</v>
      </c>
      <c r="AA65" s="115"/>
      <c r="AB65" s="115"/>
      <c r="AC65" s="113">
        <f t="shared" si="1"/>
        <v>10586583.5</v>
      </c>
      <c r="AD65" s="108"/>
    </row>
    <row r="66" spans="1:31" ht="24" thickBot="1" thickTop="1">
      <c r="A66" s="38">
        <v>36052</v>
      </c>
      <c r="B66" s="39" t="s">
        <v>59</v>
      </c>
      <c r="C66" s="40" t="s">
        <v>503</v>
      </c>
      <c r="D66" s="40" t="s">
        <v>821</v>
      </c>
      <c r="E66" s="48"/>
      <c r="F66" s="48"/>
      <c r="G66" s="48"/>
      <c r="H66" s="48">
        <v>62355</v>
      </c>
      <c r="I66" s="48"/>
      <c r="J66" s="48"/>
      <c r="K66" s="48"/>
      <c r="L66" s="48"/>
      <c r="M66" s="49"/>
      <c r="N66" s="49"/>
      <c r="O66" s="49"/>
      <c r="P66" s="49"/>
      <c r="Q66" s="49"/>
      <c r="R66" s="49"/>
      <c r="S66" s="49"/>
      <c r="T66" s="49"/>
      <c r="U66" s="49"/>
      <c r="V66" s="41"/>
      <c r="W66" s="115"/>
      <c r="X66" s="115"/>
      <c r="Y66" s="115"/>
      <c r="Z66" s="115"/>
      <c r="AA66" s="115"/>
      <c r="AB66" s="115">
        <v>10000000</v>
      </c>
      <c r="AC66" s="113">
        <f t="shared" si="1"/>
        <v>10000000</v>
      </c>
      <c r="AD66" s="108" t="s">
        <v>124</v>
      </c>
      <c r="AE66" s="4" t="s">
        <v>594</v>
      </c>
    </row>
    <row r="67" spans="1:30" ht="26.25" thickBot="1" thickTop="1">
      <c r="A67" s="38">
        <v>36104</v>
      </c>
      <c r="B67" s="39" t="s">
        <v>59</v>
      </c>
      <c r="C67" s="40" t="s">
        <v>752</v>
      </c>
      <c r="D67" s="40" t="s">
        <v>891</v>
      </c>
      <c r="E67" s="48"/>
      <c r="F67" s="48"/>
      <c r="G67" s="48"/>
      <c r="H67" s="48">
        <v>656632</v>
      </c>
      <c r="I67" s="48">
        <v>600</v>
      </c>
      <c r="J67" s="48">
        <v>0</v>
      </c>
      <c r="K67" s="48">
        <v>79</v>
      </c>
      <c r="L67" s="48"/>
      <c r="M67" s="49">
        <v>79</v>
      </c>
      <c r="N67" s="49"/>
      <c r="O67" s="49"/>
      <c r="P67" s="49"/>
      <c r="Q67" s="49"/>
      <c r="R67" s="49"/>
      <c r="S67" s="49"/>
      <c r="T67" s="49"/>
      <c r="U67" s="49"/>
      <c r="V67" s="41"/>
      <c r="W67" s="115"/>
      <c r="X67" s="115"/>
      <c r="Y67" s="115"/>
      <c r="Z67" s="115"/>
      <c r="AA67" s="115"/>
      <c r="AB67" s="115"/>
      <c r="AC67" s="113">
        <f t="shared" si="1"/>
        <v>0</v>
      </c>
      <c r="AD67" s="108" t="s">
        <v>753</v>
      </c>
    </row>
    <row r="68" spans="1:30" ht="26.25" thickBot="1" thickTop="1">
      <c r="A68" s="38">
        <v>36083</v>
      </c>
      <c r="B68" s="39" t="s">
        <v>59</v>
      </c>
      <c r="C68" s="40" t="s">
        <v>406</v>
      </c>
      <c r="D68" s="40" t="s">
        <v>821</v>
      </c>
      <c r="E68" s="48"/>
      <c r="F68" s="48"/>
      <c r="G68" s="48"/>
      <c r="H68" s="48"/>
      <c r="I68" s="48">
        <f>116*5</f>
        <v>580</v>
      </c>
      <c r="J68" s="48">
        <v>0</v>
      </c>
      <c r="K68" s="48">
        <v>116</v>
      </c>
      <c r="L68" s="48"/>
      <c r="M68" s="49">
        <v>116</v>
      </c>
      <c r="N68" s="49"/>
      <c r="O68" s="49"/>
      <c r="P68" s="49"/>
      <c r="Q68" s="49"/>
      <c r="R68" s="49"/>
      <c r="S68" s="49"/>
      <c r="T68" s="49"/>
      <c r="U68" s="49"/>
      <c r="V68" s="41" t="s">
        <v>407</v>
      </c>
      <c r="W68" s="115"/>
      <c r="X68" s="115"/>
      <c r="Y68" s="115"/>
      <c r="Z68" s="115"/>
      <c r="AA68" s="115"/>
      <c r="AB68" s="115"/>
      <c r="AC68" s="113">
        <f t="shared" si="1"/>
        <v>0</v>
      </c>
      <c r="AD68" s="108" t="s">
        <v>408</v>
      </c>
    </row>
    <row r="69" spans="1:31" ht="34.5" thickBot="1" thickTop="1">
      <c r="A69" s="38">
        <v>36116</v>
      </c>
      <c r="B69" s="39" t="s">
        <v>59</v>
      </c>
      <c r="C69" s="40" t="s">
        <v>209</v>
      </c>
      <c r="D69" s="40" t="s">
        <v>821</v>
      </c>
      <c r="E69" s="48"/>
      <c r="F69" s="48"/>
      <c r="G69" s="48"/>
      <c r="H69" s="48"/>
      <c r="I69" s="48">
        <f>584*5</f>
        <v>2920</v>
      </c>
      <c r="J69" s="48">
        <f>584*5</f>
        <v>2920</v>
      </c>
      <c r="K69" s="48">
        <v>584</v>
      </c>
      <c r="L69" s="48">
        <v>56</v>
      </c>
      <c r="M69" s="49">
        <v>223</v>
      </c>
      <c r="N69" s="49"/>
      <c r="O69" s="49"/>
      <c r="P69" s="49"/>
      <c r="Q69" s="49"/>
      <c r="R69" s="49"/>
      <c r="S69" s="49"/>
      <c r="T69" s="49"/>
      <c r="U69" s="49"/>
      <c r="V69" s="41" t="s">
        <v>94</v>
      </c>
      <c r="W69" s="115">
        <v>67028839.44</v>
      </c>
      <c r="X69" s="115">
        <v>12633088</v>
      </c>
      <c r="Y69" s="115"/>
      <c r="Z69" s="115">
        <v>2204000</v>
      </c>
      <c r="AA69" s="115"/>
      <c r="AB69" s="115"/>
      <c r="AC69" s="113">
        <f t="shared" si="1"/>
        <v>81865927.44</v>
      </c>
      <c r="AD69" s="108" t="s">
        <v>593</v>
      </c>
      <c r="AE69" s="4" t="s">
        <v>594</v>
      </c>
    </row>
    <row r="70" spans="1:30" ht="14.25" thickBot="1" thickTop="1">
      <c r="A70" s="38">
        <v>36103</v>
      </c>
      <c r="B70" s="39" t="s">
        <v>59</v>
      </c>
      <c r="C70" s="40" t="s">
        <v>356</v>
      </c>
      <c r="D70" s="40" t="s">
        <v>821</v>
      </c>
      <c r="E70" s="48"/>
      <c r="F70" s="48"/>
      <c r="G70" s="48"/>
      <c r="H70" s="48">
        <v>38261</v>
      </c>
      <c r="I70" s="48"/>
      <c r="J70" s="48"/>
      <c r="K70" s="48"/>
      <c r="L70" s="48"/>
      <c r="M70" s="49"/>
      <c r="N70" s="49"/>
      <c r="O70" s="49"/>
      <c r="P70" s="49"/>
      <c r="Q70" s="49"/>
      <c r="R70" s="49"/>
      <c r="S70" s="49"/>
      <c r="T70" s="49"/>
      <c r="U70" s="49"/>
      <c r="V70" s="41"/>
      <c r="W70" s="115"/>
      <c r="X70" s="115"/>
      <c r="Y70" s="115"/>
      <c r="Z70" s="115">
        <v>440800</v>
      </c>
      <c r="AA70" s="115"/>
      <c r="AB70" s="115"/>
      <c r="AC70" s="113">
        <f t="shared" si="1"/>
        <v>440800</v>
      </c>
      <c r="AD70" s="108" t="s">
        <v>294</v>
      </c>
    </row>
    <row r="71" spans="1:30" ht="18" thickBot="1" thickTop="1">
      <c r="A71" s="38">
        <v>36008</v>
      </c>
      <c r="B71" s="39" t="s">
        <v>59</v>
      </c>
      <c r="C71" s="40" t="s">
        <v>211</v>
      </c>
      <c r="D71" s="40" t="s">
        <v>821</v>
      </c>
      <c r="E71" s="48"/>
      <c r="F71" s="48"/>
      <c r="G71" s="48"/>
      <c r="H71" s="48">
        <v>22227</v>
      </c>
      <c r="I71" s="48">
        <v>804</v>
      </c>
      <c r="J71" s="48">
        <v>804</v>
      </c>
      <c r="K71" s="48">
        <v>154</v>
      </c>
      <c r="L71" s="48"/>
      <c r="M71" s="49"/>
      <c r="N71" s="49"/>
      <c r="O71" s="49"/>
      <c r="P71" s="49"/>
      <c r="Q71" s="49"/>
      <c r="R71" s="49"/>
      <c r="S71" s="49"/>
      <c r="T71" s="49"/>
      <c r="U71" s="49"/>
      <c r="V71" s="41"/>
      <c r="W71" s="115">
        <v>11907040.8</v>
      </c>
      <c r="X71" s="115"/>
      <c r="Y71" s="115"/>
      <c r="Z71" s="115"/>
      <c r="AA71" s="115"/>
      <c r="AB71" s="115"/>
      <c r="AC71" s="113">
        <f t="shared" si="1"/>
        <v>11907040.8</v>
      </c>
      <c r="AD71" s="108" t="s">
        <v>588</v>
      </c>
    </row>
    <row r="72" spans="1:31" ht="14.25" thickBot="1" thickTop="1">
      <c r="A72" s="38">
        <v>36105</v>
      </c>
      <c r="B72" s="39" t="s">
        <v>59</v>
      </c>
      <c r="C72" s="40" t="s">
        <v>211</v>
      </c>
      <c r="D72" s="40" t="s">
        <v>821</v>
      </c>
      <c r="E72" s="48"/>
      <c r="F72" s="48"/>
      <c r="G72" s="48"/>
      <c r="H72" s="48">
        <v>22227</v>
      </c>
      <c r="I72" s="48"/>
      <c r="J72" s="48"/>
      <c r="K72" s="48"/>
      <c r="L72" s="48"/>
      <c r="M72" s="49"/>
      <c r="N72" s="49"/>
      <c r="O72" s="49"/>
      <c r="P72" s="49"/>
      <c r="Q72" s="49"/>
      <c r="R72" s="49"/>
      <c r="S72" s="49"/>
      <c r="T72" s="49"/>
      <c r="U72" s="49"/>
      <c r="V72" s="41"/>
      <c r="W72" s="115"/>
      <c r="X72" s="115"/>
      <c r="Y72" s="115"/>
      <c r="Z72" s="115">
        <v>2204000</v>
      </c>
      <c r="AA72" s="115"/>
      <c r="AB72" s="115"/>
      <c r="AC72" s="113">
        <f t="shared" si="1"/>
        <v>2204000</v>
      </c>
      <c r="AD72" s="108"/>
      <c r="AE72" s="4" t="s">
        <v>594</v>
      </c>
    </row>
    <row r="73" spans="1:30" ht="14.25" thickBot="1" thickTop="1">
      <c r="A73" s="38">
        <v>36103</v>
      </c>
      <c r="B73" s="39" t="s">
        <v>59</v>
      </c>
      <c r="C73" s="40" t="s">
        <v>357</v>
      </c>
      <c r="D73" s="40" t="s">
        <v>821</v>
      </c>
      <c r="E73" s="48"/>
      <c r="F73" s="48"/>
      <c r="G73" s="48"/>
      <c r="H73" s="48">
        <v>32775</v>
      </c>
      <c r="I73" s="48">
        <f>359*5</f>
        <v>1795</v>
      </c>
      <c r="J73" s="48">
        <f>359*5</f>
        <v>1795</v>
      </c>
      <c r="K73" s="48">
        <f>89+31+51+33+50+105</f>
        <v>359</v>
      </c>
      <c r="L73" s="48"/>
      <c r="M73" s="49"/>
      <c r="N73" s="49"/>
      <c r="O73" s="49"/>
      <c r="P73" s="49"/>
      <c r="Q73" s="49"/>
      <c r="R73" s="49"/>
      <c r="S73" s="49"/>
      <c r="T73" s="49"/>
      <c r="U73" s="49"/>
      <c r="V73" s="41"/>
      <c r="W73" s="115"/>
      <c r="X73" s="115"/>
      <c r="Y73" s="115"/>
      <c r="Z73" s="115">
        <v>4408000</v>
      </c>
      <c r="AA73" s="115"/>
      <c r="AB73" s="115"/>
      <c r="AC73" s="113">
        <f t="shared" si="1"/>
        <v>4408000</v>
      </c>
      <c r="AD73" s="108" t="s">
        <v>360</v>
      </c>
    </row>
    <row r="74" spans="1:30" ht="18" thickBot="1" thickTop="1">
      <c r="A74" s="38">
        <v>35952</v>
      </c>
      <c r="B74" s="39" t="s">
        <v>59</v>
      </c>
      <c r="C74" s="40" t="s">
        <v>505</v>
      </c>
      <c r="D74" s="40" t="s">
        <v>911</v>
      </c>
      <c r="E74" s="48"/>
      <c r="F74" s="48"/>
      <c r="G74" s="48"/>
      <c r="H74" s="48"/>
      <c r="I74" s="48">
        <v>105</v>
      </c>
      <c r="J74" s="48">
        <v>105</v>
      </c>
      <c r="K74" s="48">
        <v>21</v>
      </c>
      <c r="L74" s="48"/>
      <c r="M74" s="49">
        <v>21</v>
      </c>
      <c r="N74" s="49"/>
      <c r="O74" s="49"/>
      <c r="P74" s="49"/>
      <c r="Q74" s="49"/>
      <c r="R74" s="49"/>
      <c r="S74" s="49"/>
      <c r="T74" s="49">
        <v>1</v>
      </c>
      <c r="U74" s="49"/>
      <c r="V74" s="41"/>
      <c r="W74" s="115"/>
      <c r="X74" s="115"/>
      <c r="Y74" s="115">
        <v>2849744.16</v>
      </c>
      <c r="Z74" s="115"/>
      <c r="AA74" s="115"/>
      <c r="AB74" s="115"/>
      <c r="AC74" s="113">
        <f t="shared" si="1"/>
        <v>2849744.16</v>
      </c>
      <c r="AD74" s="108" t="s">
        <v>792</v>
      </c>
    </row>
    <row r="75" spans="1:30" ht="18" thickBot="1" thickTop="1">
      <c r="A75" s="38">
        <v>36052</v>
      </c>
      <c r="B75" s="39" t="s">
        <v>59</v>
      </c>
      <c r="C75" s="40" t="s">
        <v>505</v>
      </c>
      <c r="D75" s="40" t="s">
        <v>821</v>
      </c>
      <c r="E75" s="48"/>
      <c r="F75" s="48"/>
      <c r="G75" s="48"/>
      <c r="H75" s="48"/>
      <c r="I75" s="48"/>
      <c r="J75" s="48"/>
      <c r="K75" s="48"/>
      <c r="L75" s="48"/>
      <c r="M75" s="49"/>
      <c r="N75" s="49"/>
      <c r="O75" s="49"/>
      <c r="P75" s="49"/>
      <c r="Q75" s="49"/>
      <c r="R75" s="49"/>
      <c r="S75" s="49"/>
      <c r="T75" s="49"/>
      <c r="U75" s="49"/>
      <c r="V75" s="41"/>
      <c r="W75" s="115"/>
      <c r="X75" s="115"/>
      <c r="Y75" s="115"/>
      <c r="Z75" s="115">
        <v>1322400</v>
      </c>
      <c r="AA75" s="115"/>
      <c r="AB75" s="115"/>
      <c r="AC75" s="113">
        <f t="shared" si="1"/>
        <v>1322400</v>
      </c>
      <c r="AD75" s="108" t="s">
        <v>793</v>
      </c>
    </row>
    <row r="76" spans="1:30" ht="14.25" thickBot="1" thickTop="1">
      <c r="A76" s="38">
        <v>36103</v>
      </c>
      <c r="B76" s="39" t="s">
        <v>59</v>
      </c>
      <c r="C76" s="40" t="s">
        <v>505</v>
      </c>
      <c r="D76" s="40" t="s">
        <v>821</v>
      </c>
      <c r="E76" s="48"/>
      <c r="F76" s="48"/>
      <c r="G76" s="48"/>
      <c r="H76" s="48"/>
      <c r="I76" s="48"/>
      <c r="J76" s="48"/>
      <c r="K76" s="48"/>
      <c r="L76" s="48"/>
      <c r="M76" s="49"/>
      <c r="N76" s="49">
        <v>1</v>
      </c>
      <c r="O76" s="49"/>
      <c r="P76" s="49"/>
      <c r="Q76" s="49"/>
      <c r="R76" s="49"/>
      <c r="S76" s="49"/>
      <c r="T76" s="49"/>
      <c r="U76" s="49"/>
      <c r="V76" s="41"/>
      <c r="W76" s="115"/>
      <c r="X76" s="115"/>
      <c r="Y76" s="115"/>
      <c r="Z76" s="115">
        <v>4408000</v>
      </c>
      <c r="AA76" s="115"/>
      <c r="AB76" s="115"/>
      <c r="AC76" s="113">
        <f t="shared" si="1"/>
        <v>4408000</v>
      </c>
      <c r="AD76" s="108" t="s">
        <v>355</v>
      </c>
    </row>
    <row r="77" spans="1:31" ht="14.25" thickBot="1" thickTop="1">
      <c r="A77" s="38">
        <v>36104</v>
      </c>
      <c r="B77" s="39" t="s">
        <v>59</v>
      </c>
      <c r="C77" s="40" t="s">
        <v>675</v>
      </c>
      <c r="D77" s="40" t="s">
        <v>821</v>
      </c>
      <c r="E77" s="48"/>
      <c r="F77" s="48"/>
      <c r="G77" s="48"/>
      <c r="H77" s="48">
        <v>26053</v>
      </c>
      <c r="I77" s="48"/>
      <c r="J77" s="48"/>
      <c r="K77" s="48"/>
      <c r="L77" s="48"/>
      <c r="M77" s="49"/>
      <c r="N77" s="49"/>
      <c r="O77" s="49"/>
      <c r="P77" s="49"/>
      <c r="Q77" s="49"/>
      <c r="R77" s="49"/>
      <c r="S77" s="49"/>
      <c r="T77" s="49"/>
      <c r="U77" s="49"/>
      <c r="V77" s="41"/>
      <c r="W77" s="115"/>
      <c r="X77" s="115"/>
      <c r="Y77" s="115"/>
      <c r="Z77" s="115">
        <v>2204000</v>
      </c>
      <c r="AA77" s="115"/>
      <c r="AB77" s="115"/>
      <c r="AC77" s="113">
        <f t="shared" si="1"/>
        <v>2204000</v>
      </c>
      <c r="AD77" s="108"/>
      <c r="AE77" s="4" t="s">
        <v>594</v>
      </c>
    </row>
    <row r="78" spans="1:30" ht="14.25" thickBot="1" thickTop="1">
      <c r="A78" s="38">
        <v>36139</v>
      </c>
      <c r="B78" s="39" t="s">
        <v>59</v>
      </c>
      <c r="C78" s="40" t="s">
        <v>249</v>
      </c>
      <c r="D78" s="40" t="s">
        <v>821</v>
      </c>
      <c r="E78" s="48"/>
      <c r="F78" s="48"/>
      <c r="G78" s="48"/>
      <c r="H78" s="48">
        <v>9207</v>
      </c>
      <c r="I78" s="48">
        <v>1575</v>
      </c>
      <c r="J78" s="48">
        <v>1575</v>
      </c>
      <c r="K78" s="48">
        <v>357</v>
      </c>
      <c r="L78" s="48"/>
      <c r="M78" s="49"/>
      <c r="N78" s="49"/>
      <c r="O78" s="49"/>
      <c r="P78" s="49"/>
      <c r="Q78" s="49"/>
      <c r="R78" s="49"/>
      <c r="S78" s="49"/>
      <c r="T78" s="49"/>
      <c r="U78" s="49"/>
      <c r="V78" s="41"/>
      <c r="W78" s="115">
        <v>1905666</v>
      </c>
      <c r="X78" s="115">
        <v>4326400</v>
      </c>
      <c r="Y78" s="115">
        <v>4106400</v>
      </c>
      <c r="Z78" s="115"/>
      <c r="AA78" s="115"/>
      <c r="AB78" s="115"/>
      <c r="AC78" s="113">
        <f t="shared" si="1"/>
        <v>10338466</v>
      </c>
      <c r="AD78" s="108"/>
    </row>
    <row r="79" spans="1:30" ht="26.25" thickBot="1" thickTop="1">
      <c r="A79" s="38">
        <v>35922</v>
      </c>
      <c r="B79" s="39" t="s">
        <v>59</v>
      </c>
      <c r="C79" s="40" t="s">
        <v>215</v>
      </c>
      <c r="D79" s="40" t="s">
        <v>821</v>
      </c>
      <c r="E79" s="48"/>
      <c r="F79" s="48"/>
      <c r="G79" s="48"/>
      <c r="H79" s="48">
        <v>23992</v>
      </c>
      <c r="I79" s="48">
        <v>1440</v>
      </c>
      <c r="J79" s="48">
        <v>1440</v>
      </c>
      <c r="K79" s="48">
        <v>288</v>
      </c>
      <c r="L79" s="48"/>
      <c r="M79" s="49"/>
      <c r="N79" s="49"/>
      <c r="O79" s="49"/>
      <c r="P79" s="49"/>
      <c r="Q79" s="49"/>
      <c r="R79" s="49"/>
      <c r="S79" s="49"/>
      <c r="T79" s="49"/>
      <c r="U79" s="49"/>
      <c r="V79" s="41" t="s">
        <v>216</v>
      </c>
      <c r="W79" s="115">
        <v>1862141.32</v>
      </c>
      <c r="X79" s="115">
        <v>6624000</v>
      </c>
      <c r="Y79" s="115"/>
      <c r="Z79" s="115">
        <v>484880</v>
      </c>
      <c r="AA79" s="115"/>
      <c r="AB79" s="115"/>
      <c r="AC79" s="113">
        <f t="shared" si="1"/>
        <v>8971021.32</v>
      </c>
      <c r="AD79" s="108" t="s">
        <v>217</v>
      </c>
    </row>
    <row r="80" spans="1:30" ht="18" thickBot="1" thickTop="1">
      <c r="A80" s="38">
        <v>35985</v>
      </c>
      <c r="B80" s="39" t="s">
        <v>59</v>
      </c>
      <c r="C80" s="40" t="s">
        <v>215</v>
      </c>
      <c r="D80" s="40" t="s">
        <v>821</v>
      </c>
      <c r="E80" s="48"/>
      <c r="F80" s="48"/>
      <c r="G80" s="48"/>
      <c r="H80" s="48">
        <v>23992</v>
      </c>
      <c r="I80" s="48">
        <v>6200</v>
      </c>
      <c r="J80" s="48">
        <v>0</v>
      </c>
      <c r="K80" s="48">
        <v>1240</v>
      </c>
      <c r="L80" s="48"/>
      <c r="M80" s="49">
        <v>300</v>
      </c>
      <c r="N80" s="49"/>
      <c r="O80" s="49"/>
      <c r="P80" s="49"/>
      <c r="Q80" s="49"/>
      <c r="R80" s="49"/>
      <c r="S80" s="49"/>
      <c r="T80" s="49"/>
      <c r="U80" s="49"/>
      <c r="V80" s="41" t="s">
        <v>499</v>
      </c>
      <c r="W80" s="115"/>
      <c r="X80" s="115"/>
      <c r="Y80" s="115"/>
      <c r="Z80" s="115"/>
      <c r="AA80" s="115"/>
      <c r="AB80" s="115"/>
      <c r="AC80" s="113">
        <f t="shared" si="1"/>
        <v>0</v>
      </c>
      <c r="AD80" s="108" t="s">
        <v>500</v>
      </c>
    </row>
    <row r="81" spans="1:30" ht="34.5" thickBot="1" thickTop="1">
      <c r="A81" s="38">
        <v>36060</v>
      </c>
      <c r="B81" s="39" t="s">
        <v>59</v>
      </c>
      <c r="C81" s="40" t="s">
        <v>215</v>
      </c>
      <c r="D81" s="40" t="s">
        <v>821</v>
      </c>
      <c r="E81" s="48"/>
      <c r="F81" s="48"/>
      <c r="G81" s="48"/>
      <c r="H81" s="48">
        <v>23992</v>
      </c>
      <c r="I81" s="48">
        <v>631</v>
      </c>
      <c r="J81" s="48">
        <v>631</v>
      </c>
      <c r="K81" s="48">
        <v>65</v>
      </c>
      <c r="L81" s="48">
        <v>45</v>
      </c>
      <c r="M81" s="49">
        <v>20</v>
      </c>
      <c r="N81" s="49">
        <v>4</v>
      </c>
      <c r="O81" s="49"/>
      <c r="P81" s="49"/>
      <c r="Q81" s="49"/>
      <c r="R81" s="49"/>
      <c r="S81" s="49"/>
      <c r="T81" s="49">
        <v>4</v>
      </c>
      <c r="U81" s="49"/>
      <c r="V81" s="41"/>
      <c r="W81" s="115">
        <v>7791438.850000001</v>
      </c>
      <c r="X81" s="115">
        <v>1495000</v>
      </c>
      <c r="Y81" s="115"/>
      <c r="Z81" s="115">
        <v>2204000</v>
      </c>
      <c r="AA81" s="115"/>
      <c r="AB81" s="115"/>
      <c r="AC81" s="113">
        <f t="shared" si="1"/>
        <v>11490438.850000001</v>
      </c>
      <c r="AD81" s="108" t="s">
        <v>697</v>
      </c>
    </row>
    <row r="82" spans="1:30" ht="24" thickBot="1" thickTop="1">
      <c r="A82" s="38">
        <v>36139</v>
      </c>
      <c r="B82" s="39" t="s">
        <v>59</v>
      </c>
      <c r="C82" s="40" t="s">
        <v>248</v>
      </c>
      <c r="D82" s="40" t="s">
        <v>821</v>
      </c>
      <c r="E82" s="48"/>
      <c r="F82" s="48"/>
      <c r="G82" s="48"/>
      <c r="H82" s="48"/>
      <c r="I82" s="48">
        <v>1750</v>
      </c>
      <c r="J82" s="48">
        <v>1750</v>
      </c>
      <c r="K82" s="48">
        <v>350</v>
      </c>
      <c r="L82" s="48"/>
      <c r="M82" s="49"/>
      <c r="N82" s="49"/>
      <c r="O82" s="49"/>
      <c r="P82" s="49"/>
      <c r="Q82" s="49"/>
      <c r="R82" s="49"/>
      <c r="S82" s="49"/>
      <c r="T82" s="49"/>
      <c r="U82" s="49"/>
      <c r="V82" s="41"/>
      <c r="W82" s="115">
        <v>40862115.5</v>
      </c>
      <c r="X82" s="115">
        <v>7256200</v>
      </c>
      <c r="Y82" s="115">
        <v>684400</v>
      </c>
      <c r="Z82" s="115">
        <v>1763200</v>
      </c>
      <c r="AA82" s="115"/>
      <c r="AB82" s="115"/>
      <c r="AC82" s="113">
        <f t="shared" si="1"/>
        <v>50565915.5</v>
      </c>
      <c r="AD82" s="108"/>
    </row>
    <row r="83" spans="1:30" ht="42.75" thickBot="1" thickTop="1">
      <c r="A83" s="38">
        <v>36038</v>
      </c>
      <c r="B83" s="39" t="s">
        <v>59</v>
      </c>
      <c r="C83" s="40" t="s">
        <v>662</v>
      </c>
      <c r="D83" s="40" t="s">
        <v>821</v>
      </c>
      <c r="E83" s="48"/>
      <c r="F83" s="48"/>
      <c r="G83" s="48"/>
      <c r="H83" s="48"/>
      <c r="I83" s="48">
        <v>508</v>
      </c>
      <c r="J83" s="48">
        <v>508</v>
      </c>
      <c r="K83" s="48">
        <v>91</v>
      </c>
      <c r="L83" s="48"/>
      <c r="M83" s="49">
        <v>3</v>
      </c>
      <c r="N83" s="49"/>
      <c r="O83" s="49"/>
      <c r="P83" s="49"/>
      <c r="Q83" s="49"/>
      <c r="R83" s="49"/>
      <c r="S83" s="49"/>
      <c r="T83" s="49"/>
      <c r="U83" s="49"/>
      <c r="V83" s="41"/>
      <c r="W83" s="115">
        <v>3320655.6</v>
      </c>
      <c r="X83" s="115"/>
      <c r="Y83" s="115"/>
      <c r="Z83" s="115"/>
      <c r="AA83" s="115"/>
      <c r="AB83" s="115"/>
      <c r="AC83" s="113">
        <f t="shared" si="1"/>
        <v>3320655.6</v>
      </c>
      <c r="AD83" s="108" t="s">
        <v>698</v>
      </c>
    </row>
    <row r="84" spans="1:30" ht="26.25" thickBot="1" thickTop="1">
      <c r="A84" s="38">
        <v>36060</v>
      </c>
      <c r="B84" s="39" t="s">
        <v>59</v>
      </c>
      <c r="C84" s="40" t="s">
        <v>662</v>
      </c>
      <c r="D84" s="40" t="s">
        <v>821</v>
      </c>
      <c r="E84" s="48"/>
      <c r="F84" s="48"/>
      <c r="G84" s="48"/>
      <c r="H84" s="48"/>
      <c r="I84" s="48">
        <v>1537</v>
      </c>
      <c r="J84" s="48">
        <v>1537</v>
      </c>
      <c r="K84" s="48">
        <v>288</v>
      </c>
      <c r="L84" s="48">
        <v>9</v>
      </c>
      <c r="M84" s="49">
        <v>49</v>
      </c>
      <c r="N84" s="49"/>
      <c r="O84" s="49"/>
      <c r="P84" s="49"/>
      <c r="Q84" s="49">
        <v>1</v>
      </c>
      <c r="R84" s="49"/>
      <c r="S84" s="49"/>
      <c r="T84" s="49"/>
      <c r="U84" s="49"/>
      <c r="V84" s="41" t="s">
        <v>700</v>
      </c>
      <c r="W84" s="115">
        <v>49544962.92000001</v>
      </c>
      <c r="X84" s="115">
        <v>3450000</v>
      </c>
      <c r="Y84" s="115"/>
      <c r="Z84" s="115"/>
      <c r="AA84" s="115"/>
      <c r="AB84" s="115"/>
      <c r="AC84" s="113">
        <f t="shared" si="1"/>
        <v>52994962.92000001</v>
      </c>
      <c r="AD84" s="108" t="s">
        <v>699</v>
      </c>
    </row>
    <row r="85" spans="1:30" ht="14.25" thickBot="1" thickTop="1">
      <c r="A85" s="38">
        <v>36103</v>
      </c>
      <c r="B85" s="39" t="s">
        <v>59</v>
      </c>
      <c r="C85" s="40" t="s">
        <v>359</v>
      </c>
      <c r="D85" s="40" t="s">
        <v>821</v>
      </c>
      <c r="E85" s="48"/>
      <c r="F85" s="48"/>
      <c r="G85" s="48"/>
      <c r="H85" s="48">
        <v>21466</v>
      </c>
      <c r="I85" s="48">
        <f>183*5</f>
        <v>915</v>
      </c>
      <c r="J85" s="48">
        <f>183*5</f>
        <v>915</v>
      </c>
      <c r="K85" s="48">
        <f>82+30+15+26+11+19</f>
        <v>183</v>
      </c>
      <c r="L85" s="48"/>
      <c r="M85" s="49"/>
      <c r="N85" s="49"/>
      <c r="O85" s="49"/>
      <c r="P85" s="49"/>
      <c r="Q85" s="49"/>
      <c r="R85" s="49"/>
      <c r="S85" s="49"/>
      <c r="T85" s="49"/>
      <c r="U85" s="49"/>
      <c r="V85" s="41"/>
      <c r="W85" s="115"/>
      <c r="X85" s="115"/>
      <c r="Y85" s="115"/>
      <c r="Z85" s="115">
        <v>1322400</v>
      </c>
      <c r="AA85" s="115"/>
      <c r="AB85" s="115"/>
      <c r="AC85" s="113">
        <f t="shared" si="1"/>
        <v>1322400</v>
      </c>
      <c r="AD85" s="108" t="s">
        <v>361</v>
      </c>
    </row>
    <row r="86" spans="1:31" ht="14.25" thickBot="1" thickTop="1">
      <c r="A86" s="38">
        <v>36105</v>
      </c>
      <c r="B86" s="39" t="s">
        <v>59</v>
      </c>
      <c r="C86" s="40" t="s">
        <v>214</v>
      </c>
      <c r="D86" s="40" t="s">
        <v>821</v>
      </c>
      <c r="E86" s="48"/>
      <c r="F86" s="48"/>
      <c r="G86" s="48"/>
      <c r="H86" s="48">
        <v>19063</v>
      </c>
      <c r="I86" s="48"/>
      <c r="J86" s="48"/>
      <c r="K86" s="48"/>
      <c r="L86" s="48"/>
      <c r="M86" s="49"/>
      <c r="N86" s="49"/>
      <c r="O86" s="49"/>
      <c r="P86" s="49"/>
      <c r="Q86" s="49"/>
      <c r="R86" s="49"/>
      <c r="S86" s="49"/>
      <c r="T86" s="49"/>
      <c r="U86" s="49"/>
      <c r="V86" s="41"/>
      <c r="W86" s="115"/>
      <c r="X86" s="115"/>
      <c r="Y86" s="115"/>
      <c r="Z86" s="115">
        <v>1322400</v>
      </c>
      <c r="AA86" s="115"/>
      <c r="AB86" s="115"/>
      <c r="AC86" s="113">
        <f t="shared" si="1"/>
        <v>1322400</v>
      </c>
      <c r="AD86" s="108"/>
      <c r="AE86" s="4" t="s">
        <v>594</v>
      </c>
    </row>
    <row r="87" spans="1:30" ht="14.25" thickBot="1" thickTop="1">
      <c r="A87" s="38">
        <v>36008</v>
      </c>
      <c r="B87" s="39" t="s">
        <v>59</v>
      </c>
      <c r="C87" s="40" t="s">
        <v>586</v>
      </c>
      <c r="D87" s="40" t="s">
        <v>821</v>
      </c>
      <c r="E87" s="48"/>
      <c r="F87" s="48"/>
      <c r="G87" s="48"/>
      <c r="H87" s="48"/>
      <c r="I87" s="48"/>
      <c r="J87" s="48"/>
      <c r="K87" s="48"/>
      <c r="L87" s="48"/>
      <c r="M87" s="49"/>
      <c r="N87" s="49"/>
      <c r="O87" s="49"/>
      <c r="P87" s="49"/>
      <c r="Q87" s="49"/>
      <c r="R87" s="49"/>
      <c r="S87" s="49"/>
      <c r="T87" s="49"/>
      <c r="U87" s="49"/>
      <c r="V87" s="41"/>
      <c r="W87" s="115"/>
      <c r="X87" s="115"/>
      <c r="Y87" s="115"/>
      <c r="Z87" s="115">
        <v>881600</v>
      </c>
      <c r="AA87" s="115"/>
      <c r="AB87" s="115"/>
      <c r="AC87" s="113">
        <f t="shared" si="1"/>
        <v>881600</v>
      </c>
      <c r="AD87" s="108" t="s">
        <v>587</v>
      </c>
    </row>
    <row r="88" spans="1:30" ht="14.25" thickBot="1" thickTop="1">
      <c r="A88" s="38">
        <v>35885</v>
      </c>
      <c r="B88" s="39" t="s">
        <v>59</v>
      </c>
      <c r="C88" s="40" t="s">
        <v>60</v>
      </c>
      <c r="D88" s="40" t="s">
        <v>884</v>
      </c>
      <c r="E88" s="48"/>
      <c r="F88" s="48"/>
      <c r="G88" s="48"/>
      <c r="H88" s="48">
        <v>13151</v>
      </c>
      <c r="I88" s="48">
        <v>120</v>
      </c>
      <c r="J88" s="48">
        <v>120</v>
      </c>
      <c r="K88" s="48">
        <v>24</v>
      </c>
      <c r="L88" s="48"/>
      <c r="M88" s="49"/>
      <c r="N88" s="49"/>
      <c r="O88" s="49"/>
      <c r="P88" s="49"/>
      <c r="Q88" s="49"/>
      <c r="R88" s="49"/>
      <c r="S88" s="49"/>
      <c r="T88" s="49"/>
      <c r="U88" s="49"/>
      <c r="V88" s="41"/>
      <c r="W88" s="115"/>
      <c r="X88" s="115">
        <v>2300000</v>
      </c>
      <c r="Y88" s="115"/>
      <c r="Z88" s="115"/>
      <c r="AA88" s="115"/>
      <c r="AB88" s="115"/>
      <c r="AC88" s="113">
        <f t="shared" si="1"/>
        <v>2300000</v>
      </c>
      <c r="AD88" s="108"/>
    </row>
    <row r="89" spans="1:30" ht="14.25" thickBot="1" thickTop="1">
      <c r="A89" s="38">
        <v>36139</v>
      </c>
      <c r="B89" s="39" t="s">
        <v>59</v>
      </c>
      <c r="C89" s="40" t="s">
        <v>60</v>
      </c>
      <c r="D89" s="40" t="s">
        <v>821</v>
      </c>
      <c r="E89" s="48"/>
      <c r="F89" s="48"/>
      <c r="G89" s="48"/>
      <c r="H89" s="48">
        <v>13151</v>
      </c>
      <c r="I89" s="48">
        <f>157*5</f>
        <v>785</v>
      </c>
      <c r="J89" s="48">
        <f>157*5</f>
        <v>785</v>
      </c>
      <c r="K89" s="48">
        <v>157</v>
      </c>
      <c r="L89" s="48"/>
      <c r="M89" s="49"/>
      <c r="N89" s="49"/>
      <c r="O89" s="49"/>
      <c r="P89" s="49"/>
      <c r="Q89" s="49"/>
      <c r="R89" s="49"/>
      <c r="S89" s="49"/>
      <c r="T89" s="49"/>
      <c r="U89" s="49"/>
      <c r="V89" s="41"/>
      <c r="W89" s="115">
        <v>1523265.81</v>
      </c>
      <c r="X89" s="115">
        <v>3396224</v>
      </c>
      <c r="Y89" s="115">
        <v>3223524</v>
      </c>
      <c r="Z89" s="115"/>
      <c r="AA89" s="115"/>
      <c r="AB89" s="115"/>
      <c r="AC89" s="113">
        <f t="shared" si="1"/>
        <v>8143013.8100000005</v>
      </c>
      <c r="AD89" s="108"/>
    </row>
    <row r="90" spans="1:30" ht="51" thickBot="1" thickTop="1">
      <c r="A90" s="38">
        <v>36096</v>
      </c>
      <c r="B90" s="39" t="s">
        <v>829</v>
      </c>
      <c r="C90" s="40" t="s">
        <v>680</v>
      </c>
      <c r="D90" s="40" t="s">
        <v>107</v>
      </c>
      <c r="E90" s="48"/>
      <c r="F90" s="48"/>
      <c r="G90" s="48"/>
      <c r="H90" s="48">
        <v>3675</v>
      </c>
      <c r="I90" s="48">
        <v>30</v>
      </c>
      <c r="J90" s="48">
        <v>0</v>
      </c>
      <c r="K90" s="48">
        <v>6</v>
      </c>
      <c r="L90" s="48">
        <v>2</v>
      </c>
      <c r="M90" s="49">
        <v>4</v>
      </c>
      <c r="N90" s="49"/>
      <c r="O90" s="49">
        <v>7</v>
      </c>
      <c r="P90" s="49"/>
      <c r="Q90" s="49"/>
      <c r="R90" s="49"/>
      <c r="S90" s="49"/>
      <c r="T90" s="49"/>
      <c r="U90" s="49"/>
      <c r="V90" s="41" t="s">
        <v>681</v>
      </c>
      <c r="W90" s="115"/>
      <c r="X90" s="115"/>
      <c r="Y90" s="115"/>
      <c r="Z90" s="115"/>
      <c r="AA90" s="115"/>
      <c r="AB90" s="115"/>
      <c r="AC90" s="113">
        <f t="shared" si="1"/>
        <v>0</v>
      </c>
      <c r="AD90" s="108" t="s">
        <v>682</v>
      </c>
    </row>
    <row r="91" spans="1:30" ht="14.25" thickBot="1" thickTop="1">
      <c r="A91" s="38">
        <v>35923</v>
      </c>
      <c r="B91" s="39" t="s">
        <v>829</v>
      </c>
      <c r="C91" s="40" t="s">
        <v>227</v>
      </c>
      <c r="D91" s="40" t="s">
        <v>107</v>
      </c>
      <c r="E91" s="48"/>
      <c r="F91" s="48"/>
      <c r="G91" s="48"/>
      <c r="H91" s="48">
        <v>6416</v>
      </c>
      <c r="I91" s="48">
        <v>100</v>
      </c>
      <c r="J91" s="48">
        <v>0</v>
      </c>
      <c r="K91" s="48">
        <v>23</v>
      </c>
      <c r="L91" s="48"/>
      <c r="M91" s="49"/>
      <c r="N91" s="49">
        <v>5</v>
      </c>
      <c r="O91" s="49">
        <v>2</v>
      </c>
      <c r="P91" s="49">
        <v>3</v>
      </c>
      <c r="Q91" s="49"/>
      <c r="R91" s="49"/>
      <c r="S91" s="49"/>
      <c r="T91" s="49"/>
      <c r="U91" s="49"/>
      <c r="V91" s="41"/>
      <c r="W91" s="115"/>
      <c r="X91" s="115"/>
      <c r="Y91" s="115"/>
      <c r="Z91" s="115"/>
      <c r="AA91" s="115"/>
      <c r="AB91" s="115"/>
      <c r="AC91" s="113">
        <f aca="true" t="shared" si="2" ref="AC91:AC126">+W91+X91+Y91+Z91+AA91+AB91</f>
        <v>0</v>
      </c>
      <c r="AD91" s="108" t="s">
        <v>237</v>
      </c>
    </row>
    <row r="92" spans="1:30" ht="18" thickBot="1" thickTop="1">
      <c r="A92" s="38">
        <v>35949</v>
      </c>
      <c r="B92" s="39" t="s">
        <v>829</v>
      </c>
      <c r="C92" s="40" t="s">
        <v>113</v>
      </c>
      <c r="D92" s="40" t="s">
        <v>821</v>
      </c>
      <c r="E92" s="48"/>
      <c r="F92" s="48"/>
      <c r="G92" s="48"/>
      <c r="H92" s="48">
        <v>6051</v>
      </c>
      <c r="I92" s="48">
        <v>92</v>
      </c>
      <c r="J92" s="48">
        <v>92</v>
      </c>
      <c r="K92" s="48">
        <v>18</v>
      </c>
      <c r="L92" s="48">
        <v>17</v>
      </c>
      <c r="M92" s="49"/>
      <c r="N92" s="49">
        <v>4</v>
      </c>
      <c r="O92" s="49"/>
      <c r="P92" s="49"/>
      <c r="Q92" s="49">
        <v>3</v>
      </c>
      <c r="R92" s="49"/>
      <c r="S92" s="49"/>
      <c r="T92" s="49">
        <v>1</v>
      </c>
      <c r="U92" s="49"/>
      <c r="V92" s="41"/>
      <c r="W92" s="115">
        <v>5084669.84</v>
      </c>
      <c r="X92" s="115">
        <v>414000</v>
      </c>
      <c r="Y92" s="115"/>
      <c r="Z92" s="115"/>
      <c r="AA92" s="115"/>
      <c r="AB92" s="115"/>
      <c r="AC92" s="113">
        <f t="shared" si="2"/>
        <v>5498669.84</v>
      </c>
      <c r="AD92" s="108" t="s">
        <v>455</v>
      </c>
    </row>
    <row r="93" spans="1:30" ht="18" thickBot="1" thickTop="1">
      <c r="A93" s="38">
        <v>35923</v>
      </c>
      <c r="B93" s="39" t="s">
        <v>829</v>
      </c>
      <c r="C93" s="40" t="s">
        <v>225</v>
      </c>
      <c r="D93" s="40" t="s">
        <v>107</v>
      </c>
      <c r="E93" s="48"/>
      <c r="F93" s="48"/>
      <c r="G93" s="48"/>
      <c r="H93" s="48">
        <v>3478</v>
      </c>
      <c r="I93" s="48">
        <v>165</v>
      </c>
      <c r="J93" s="48">
        <v>0</v>
      </c>
      <c r="K93" s="48">
        <v>35</v>
      </c>
      <c r="L93" s="48"/>
      <c r="M93" s="49"/>
      <c r="N93" s="49">
        <v>2</v>
      </c>
      <c r="O93" s="49"/>
      <c r="P93" s="49">
        <v>1</v>
      </c>
      <c r="Q93" s="49"/>
      <c r="R93" s="49"/>
      <c r="S93" s="49"/>
      <c r="T93" s="49"/>
      <c r="U93" s="49"/>
      <c r="V93" s="41" t="s">
        <v>232</v>
      </c>
      <c r="W93" s="115"/>
      <c r="X93" s="115"/>
      <c r="Y93" s="115"/>
      <c r="Z93" s="115"/>
      <c r="AA93" s="115"/>
      <c r="AB93" s="115"/>
      <c r="AC93" s="113">
        <f t="shared" si="2"/>
        <v>0</v>
      </c>
      <c r="AD93" s="108" t="s">
        <v>235</v>
      </c>
    </row>
    <row r="94" spans="1:30" ht="18" thickBot="1" thickTop="1">
      <c r="A94" s="38">
        <v>35923</v>
      </c>
      <c r="B94" s="39" t="s">
        <v>829</v>
      </c>
      <c r="C94" s="40" t="s">
        <v>228</v>
      </c>
      <c r="D94" s="40" t="s">
        <v>107</v>
      </c>
      <c r="E94" s="48"/>
      <c r="F94" s="48"/>
      <c r="G94" s="48"/>
      <c r="H94" s="48">
        <v>2903</v>
      </c>
      <c r="I94" s="48">
        <v>120</v>
      </c>
      <c r="J94" s="48">
        <v>0</v>
      </c>
      <c r="K94" s="48">
        <v>25</v>
      </c>
      <c r="L94" s="48"/>
      <c r="M94" s="49"/>
      <c r="N94" s="49"/>
      <c r="O94" s="49"/>
      <c r="P94" s="49"/>
      <c r="Q94" s="49"/>
      <c r="R94" s="49"/>
      <c r="S94" s="49"/>
      <c r="T94" s="49"/>
      <c r="U94" s="49"/>
      <c r="V94" s="41" t="s">
        <v>233</v>
      </c>
      <c r="W94" s="115"/>
      <c r="X94" s="115"/>
      <c r="Y94" s="115"/>
      <c r="Z94" s="115"/>
      <c r="AA94" s="115"/>
      <c r="AB94" s="115"/>
      <c r="AC94" s="113">
        <f t="shared" si="2"/>
        <v>0</v>
      </c>
      <c r="AD94" s="108"/>
    </row>
    <row r="95" spans="1:30" ht="18" thickBot="1" thickTop="1">
      <c r="A95" s="38">
        <v>35923</v>
      </c>
      <c r="B95" s="39" t="s">
        <v>829</v>
      </c>
      <c r="C95" s="40" t="s">
        <v>226</v>
      </c>
      <c r="D95" s="40" t="s">
        <v>107</v>
      </c>
      <c r="E95" s="48"/>
      <c r="F95" s="48"/>
      <c r="G95" s="48"/>
      <c r="H95" s="48">
        <v>8631</v>
      </c>
      <c r="I95" s="48">
        <v>320</v>
      </c>
      <c r="J95" s="48">
        <v>0</v>
      </c>
      <c r="K95" s="48">
        <v>65</v>
      </c>
      <c r="L95" s="48">
        <v>1</v>
      </c>
      <c r="M95" s="49">
        <v>5</v>
      </c>
      <c r="N95" s="49">
        <v>1</v>
      </c>
      <c r="O95" s="49">
        <v>8</v>
      </c>
      <c r="P95" s="49">
        <v>5</v>
      </c>
      <c r="Q95" s="49"/>
      <c r="R95" s="49"/>
      <c r="S95" s="49"/>
      <c r="T95" s="49"/>
      <c r="U95" s="49"/>
      <c r="V95" s="41" t="s">
        <v>232</v>
      </c>
      <c r="W95" s="115"/>
      <c r="X95" s="115"/>
      <c r="Y95" s="115"/>
      <c r="Z95" s="115"/>
      <c r="AA95" s="115"/>
      <c r="AB95" s="115"/>
      <c r="AC95" s="113">
        <f t="shared" si="2"/>
        <v>0</v>
      </c>
      <c r="AD95" s="108" t="s">
        <v>236</v>
      </c>
    </row>
    <row r="96" spans="1:30" ht="18" thickBot="1" thickTop="1">
      <c r="A96" s="38">
        <v>35832</v>
      </c>
      <c r="B96" s="39" t="s">
        <v>829</v>
      </c>
      <c r="C96" s="40" t="s">
        <v>910</v>
      </c>
      <c r="D96" s="40" t="s">
        <v>911</v>
      </c>
      <c r="E96" s="48"/>
      <c r="F96" s="48"/>
      <c r="G96" s="48"/>
      <c r="H96" s="48">
        <v>5694</v>
      </c>
      <c r="I96" s="48"/>
      <c r="J96" s="48"/>
      <c r="K96" s="48"/>
      <c r="L96" s="48"/>
      <c r="M96" s="49"/>
      <c r="N96" s="49"/>
      <c r="O96" s="49"/>
      <c r="P96" s="49"/>
      <c r="Q96" s="49"/>
      <c r="R96" s="49"/>
      <c r="S96" s="49"/>
      <c r="T96" s="49">
        <v>1</v>
      </c>
      <c r="U96" s="49"/>
      <c r="V96" s="41"/>
      <c r="W96" s="115"/>
      <c r="X96" s="115"/>
      <c r="Y96" s="115">
        <v>350000</v>
      </c>
      <c r="Z96" s="115"/>
      <c r="AA96" s="115"/>
      <c r="AB96" s="115"/>
      <c r="AC96" s="113">
        <f t="shared" si="2"/>
        <v>350000</v>
      </c>
      <c r="AD96" s="108" t="s">
        <v>912</v>
      </c>
    </row>
    <row r="97" spans="1:30" ht="18" thickBot="1" thickTop="1">
      <c r="A97" s="38">
        <v>35845</v>
      </c>
      <c r="B97" s="39" t="s">
        <v>829</v>
      </c>
      <c r="C97" s="40" t="s">
        <v>913</v>
      </c>
      <c r="D97" s="40" t="s">
        <v>884</v>
      </c>
      <c r="E97" s="48"/>
      <c r="F97" s="48"/>
      <c r="G97" s="48"/>
      <c r="H97" s="48">
        <v>7212</v>
      </c>
      <c r="I97" s="48"/>
      <c r="J97" s="48"/>
      <c r="K97" s="48"/>
      <c r="L97" s="48"/>
      <c r="M97" s="49"/>
      <c r="N97" s="49"/>
      <c r="O97" s="49"/>
      <c r="P97" s="49"/>
      <c r="Q97" s="49"/>
      <c r="R97" s="49"/>
      <c r="S97" s="49"/>
      <c r="T97" s="49"/>
      <c r="U97" s="49"/>
      <c r="V97" s="41"/>
      <c r="W97" s="115"/>
      <c r="X97" s="115">
        <v>4600000</v>
      </c>
      <c r="Y97" s="115"/>
      <c r="Z97" s="115"/>
      <c r="AA97" s="115"/>
      <c r="AB97" s="115"/>
      <c r="AC97" s="113">
        <f t="shared" si="2"/>
        <v>4600000</v>
      </c>
      <c r="AD97" s="108" t="s">
        <v>0</v>
      </c>
    </row>
    <row r="98" spans="1:30" ht="26.25" thickBot="1" thickTop="1">
      <c r="A98" s="38">
        <v>35909</v>
      </c>
      <c r="B98" s="39" t="s">
        <v>829</v>
      </c>
      <c r="C98" s="40" t="s">
        <v>122</v>
      </c>
      <c r="D98" s="40" t="s">
        <v>821</v>
      </c>
      <c r="E98" s="48"/>
      <c r="F98" s="48"/>
      <c r="G98" s="48"/>
      <c r="H98" s="48">
        <v>12515</v>
      </c>
      <c r="I98" s="48">
        <v>640</v>
      </c>
      <c r="J98" s="48">
        <v>0</v>
      </c>
      <c r="K98" s="48">
        <v>80</v>
      </c>
      <c r="L98" s="48"/>
      <c r="M98" s="49"/>
      <c r="N98" s="49"/>
      <c r="O98" s="49"/>
      <c r="P98" s="49"/>
      <c r="Q98" s="49"/>
      <c r="R98" s="49"/>
      <c r="S98" s="49"/>
      <c r="T98" s="49"/>
      <c r="U98" s="49"/>
      <c r="V98" s="41"/>
      <c r="W98" s="115"/>
      <c r="X98" s="115"/>
      <c r="Y98" s="115"/>
      <c r="Z98" s="115"/>
      <c r="AA98" s="115"/>
      <c r="AB98" s="115"/>
      <c r="AC98" s="113">
        <f t="shared" si="2"/>
        <v>0</v>
      </c>
      <c r="AD98" s="108" t="s">
        <v>125</v>
      </c>
    </row>
    <row r="99" spans="1:30" ht="14.25" thickBot="1" thickTop="1">
      <c r="A99" s="38">
        <v>36058</v>
      </c>
      <c r="B99" s="39" t="s">
        <v>829</v>
      </c>
      <c r="C99" s="40" t="s">
        <v>122</v>
      </c>
      <c r="D99" s="40" t="s">
        <v>891</v>
      </c>
      <c r="E99" s="48"/>
      <c r="F99" s="48"/>
      <c r="G99" s="48"/>
      <c r="H99" s="48">
        <v>12515</v>
      </c>
      <c r="I99" s="48">
        <v>18</v>
      </c>
      <c r="J99" s="48">
        <v>0</v>
      </c>
      <c r="K99" s="48">
        <v>6</v>
      </c>
      <c r="L99" s="48"/>
      <c r="M99" s="49"/>
      <c r="N99" s="49"/>
      <c r="O99" s="49"/>
      <c r="P99" s="49"/>
      <c r="Q99" s="49"/>
      <c r="R99" s="49"/>
      <c r="S99" s="49"/>
      <c r="T99" s="49"/>
      <c r="U99" s="49"/>
      <c r="V99" s="41"/>
      <c r="W99" s="115"/>
      <c r="X99" s="115"/>
      <c r="Y99" s="115"/>
      <c r="Z99" s="115"/>
      <c r="AA99" s="115"/>
      <c r="AB99" s="115"/>
      <c r="AC99" s="113">
        <f t="shared" si="2"/>
        <v>0</v>
      </c>
      <c r="AD99" s="108" t="s">
        <v>708</v>
      </c>
    </row>
    <row r="100" spans="1:30" ht="26.25" thickBot="1" thickTop="1">
      <c r="A100" s="38">
        <v>36085</v>
      </c>
      <c r="B100" s="39" t="s">
        <v>829</v>
      </c>
      <c r="C100" s="40" t="s">
        <v>122</v>
      </c>
      <c r="D100" s="40" t="s">
        <v>875</v>
      </c>
      <c r="E100" s="48"/>
      <c r="F100" s="48"/>
      <c r="G100" s="48"/>
      <c r="H100" s="48">
        <v>12515</v>
      </c>
      <c r="I100" s="48">
        <v>10</v>
      </c>
      <c r="J100" s="48">
        <v>0</v>
      </c>
      <c r="K100" s="48">
        <v>2</v>
      </c>
      <c r="L100" s="48">
        <v>2</v>
      </c>
      <c r="M100" s="49"/>
      <c r="N100" s="49"/>
      <c r="O100" s="49">
        <v>1</v>
      </c>
      <c r="P100" s="49"/>
      <c r="Q100" s="49"/>
      <c r="R100" s="49"/>
      <c r="S100" s="49"/>
      <c r="T100" s="49"/>
      <c r="U100" s="49"/>
      <c r="V100" s="41"/>
      <c r="W100" s="115"/>
      <c r="X100" s="115"/>
      <c r="Y100" s="115"/>
      <c r="Z100" s="115"/>
      <c r="AA100" s="115"/>
      <c r="AB100" s="115"/>
      <c r="AC100" s="113">
        <f t="shared" si="2"/>
        <v>0</v>
      </c>
      <c r="AD100" s="108" t="s">
        <v>807</v>
      </c>
    </row>
    <row r="101" spans="1:31" ht="26.25" thickBot="1" thickTop="1">
      <c r="A101" s="38">
        <v>36121</v>
      </c>
      <c r="B101" s="39" t="s">
        <v>829</v>
      </c>
      <c r="C101" s="40" t="s">
        <v>122</v>
      </c>
      <c r="D101" s="40" t="s">
        <v>891</v>
      </c>
      <c r="E101" s="48"/>
      <c r="F101" s="48"/>
      <c r="G101" s="48"/>
      <c r="H101" s="48">
        <v>12515</v>
      </c>
      <c r="I101" s="48">
        <f>45*5</f>
        <v>225</v>
      </c>
      <c r="J101" s="48">
        <f>45*5</f>
        <v>225</v>
      </c>
      <c r="K101" s="48">
        <v>45</v>
      </c>
      <c r="L101" s="48">
        <v>25</v>
      </c>
      <c r="M101" s="49">
        <v>20</v>
      </c>
      <c r="N101" s="49"/>
      <c r="O101" s="49"/>
      <c r="P101" s="49"/>
      <c r="Q101" s="49"/>
      <c r="R101" s="49"/>
      <c r="S101" s="49"/>
      <c r="T101" s="49"/>
      <c r="U101" s="49"/>
      <c r="V101" s="41"/>
      <c r="W101" s="115">
        <v>7112384.55</v>
      </c>
      <c r="X101" s="115">
        <v>973440</v>
      </c>
      <c r="Y101" s="115">
        <v>1366480</v>
      </c>
      <c r="Z101" s="115"/>
      <c r="AA101" s="115"/>
      <c r="AB101" s="115"/>
      <c r="AC101" s="113">
        <f t="shared" si="2"/>
        <v>9452304.55</v>
      </c>
      <c r="AD101" s="108" t="s">
        <v>328</v>
      </c>
      <c r="AE101" s="4" t="s">
        <v>594</v>
      </c>
    </row>
    <row r="102" spans="1:30" ht="34.5" thickBot="1" thickTop="1">
      <c r="A102" s="38">
        <v>36067</v>
      </c>
      <c r="B102" s="39" t="s">
        <v>829</v>
      </c>
      <c r="C102" s="40" t="s">
        <v>705</v>
      </c>
      <c r="D102" s="40" t="s">
        <v>891</v>
      </c>
      <c r="E102" s="48"/>
      <c r="F102" s="48"/>
      <c r="G102" s="48"/>
      <c r="H102" s="48">
        <v>9279</v>
      </c>
      <c r="I102" s="48">
        <f>20*5</f>
        <v>100</v>
      </c>
      <c r="J102" s="48">
        <v>0</v>
      </c>
      <c r="K102" s="48">
        <v>20</v>
      </c>
      <c r="L102" s="48"/>
      <c r="M102" s="49"/>
      <c r="N102" s="49"/>
      <c r="O102" s="49"/>
      <c r="P102" s="49"/>
      <c r="Q102" s="49">
        <v>2</v>
      </c>
      <c r="R102" s="49"/>
      <c r="S102" s="49"/>
      <c r="T102" s="49"/>
      <c r="U102" s="49"/>
      <c r="V102" s="41"/>
      <c r="W102" s="115"/>
      <c r="X102" s="115"/>
      <c r="Y102" s="115"/>
      <c r="Z102" s="115"/>
      <c r="AA102" s="115"/>
      <c r="AB102" s="115"/>
      <c r="AC102" s="113">
        <f t="shared" si="2"/>
        <v>0</v>
      </c>
      <c r="AD102" s="108" t="s">
        <v>706</v>
      </c>
    </row>
    <row r="103" spans="1:30" ht="14.25" thickBot="1" thickTop="1">
      <c r="A103" s="38">
        <v>36075</v>
      </c>
      <c r="B103" s="39" t="s">
        <v>829</v>
      </c>
      <c r="C103" s="40" t="s">
        <v>705</v>
      </c>
      <c r="D103" s="40" t="s">
        <v>891</v>
      </c>
      <c r="E103" s="48"/>
      <c r="F103" s="48"/>
      <c r="G103" s="48"/>
      <c r="H103" s="48">
        <v>9279</v>
      </c>
      <c r="I103" s="48">
        <v>72</v>
      </c>
      <c r="J103" s="48">
        <v>72</v>
      </c>
      <c r="K103" s="48">
        <v>16</v>
      </c>
      <c r="L103" s="48"/>
      <c r="M103" s="49"/>
      <c r="N103" s="49"/>
      <c r="O103" s="49"/>
      <c r="P103" s="49"/>
      <c r="Q103" s="49"/>
      <c r="R103" s="49"/>
      <c r="S103" s="49"/>
      <c r="T103" s="49"/>
      <c r="U103" s="49"/>
      <c r="V103" s="41" t="s">
        <v>208</v>
      </c>
      <c r="W103" s="115">
        <v>2563338.08</v>
      </c>
      <c r="X103" s="115">
        <v>368000</v>
      </c>
      <c r="Y103" s="115"/>
      <c r="Z103" s="115"/>
      <c r="AA103" s="115"/>
      <c r="AB103" s="115"/>
      <c r="AC103" s="113">
        <f t="shared" si="2"/>
        <v>2931338.08</v>
      </c>
      <c r="AD103" s="108" t="s">
        <v>743</v>
      </c>
    </row>
    <row r="104" spans="1:30" ht="26.25" thickBot="1" thickTop="1">
      <c r="A104" s="38">
        <v>35923</v>
      </c>
      <c r="B104" s="39" t="s">
        <v>829</v>
      </c>
      <c r="C104" s="40" t="s">
        <v>224</v>
      </c>
      <c r="D104" s="40" t="s">
        <v>107</v>
      </c>
      <c r="E104" s="48"/>
      <c r="F104" s="48"/>
      <c r="G104" s="48"/>
      <c r="H104" s="48">
        <v>2511</v>
      </c>
      <c r="I104" s="48">
        <v>370</v>
      </c>
      <c r="J104" s="48">
        <v>0</v>
      </c>
      <c r="K104" s="48">
        <v>80</v>
      </c>
      <c r="L104" s="48"/>
      <c r="M104" s="49"/>
      <c r="N104" s="49">
        <v>1</v>
      </c>
      <c r="O104" s="49">
        <v>1</v>
      </c>
      <c r="P104" s="49"/>
      <c r="Q104" s="49">
        <v>2</v>
      </c>
      <c r="R104" s="49"/>
      <c r="S104" s="49"/>
      <c r="T104" s="49"/>
      <c r="U104" s="49"/>
      <c r="V104" s="41" t="s">
        <v>231</v>
      </c>
      <c r="W104" s="115"/>
      <c r="X104" s="115"/>
      <c r="Y104" s="115"/>
      <c r="Z104" s="115"/>
      <c r="AA104" s="115"/>
      <c r="AB104" s="115"/>
      <c r="AC104" s="113">
        <f t="shared" si="2"/>
        <v>0</v>
      </c>
      <c r="AD104" s="108"/>
    </row>
    <row r="105" spans="1:30" ht="42.75" thickBot="1" thickTop="1">
      <c r="A105" s="38">
        <v>35923</v>
      </c>
      <c r="B105" s="39" t="s">
        <v>829</v>
      </c>
      <c r="C105" s="40" t="s">
        <v>222</v>
      </c>
      <c r="D105" s="40" t="s">
        <v>107</v>
      </c>
      <c r="E105" s="48"/>
      <c r="F105" s="48"/>
      <c r="G105" s="48"/>
      <c r="H105" s="48"/>
      <c r="I105" s="48"/>
      <c r="J105" s="48"/>
      <c r="K105" s="48"/>
      <c r="L105" s="48"/>
      <c r="M105" s="49"/>
      <c r="N105" s="49"/>
      <c r="O105" s="49"/>
      <c r="P105" s="49"/>
      <c r="Q105" s="49"/>
      <c r="R105" s="49"/>
      <c r="S105" s="49"/>
      <c r="T105" s="49"/>
      <c r="U105" s="49"/>
      <c r="V105" s="41"/>
      <c r="W105" s="115">
        <v>41454893.02</v>
      </c>
      <c r="X105" s="115">
        <v>6302000</v>
      </c>
      <c r="Y105" s="115"/>
      <c r="Z105" s="115"/>
      <c r="AA105" s="115"/>
      <c r="AB105" s="115"/>
      <c r="AC105" s="113">
        <f t="shared" si="2"/>
        <v>47756893.02</v>
      </c>
      <c r="AD105" s="108" t="s">
        <v>223</v>
      </c>
    </row>
    <row r="106" spans="1:30" ht="24" thickBot="1" thickTop="1">
      <c r="A106" s="38">
        <v>35900</v>
      </c>
      <c r="B106" s="39" t="s">
        <v>829</v>
      </c>
      <c r="C106" s="40" t="s">
        <v>117</v>
      </c>
      <c r="D106" s="40" t="s">
        <v>821</v>
      </c>
      <c r="E106" s="48"/>
      <c r="F106" s="48"/>
      <c r="G106" s="48"/>
      <c r="H106" s="48">
        <v>28552</v>
      </c>
      <c r="I106" s="48">
        <v>130</v>
      </c>
      <c r="J106" s="48">
        <v>0</v>
      </c>
      <c r="K106" s="48">
        <v>22</v>
      </c>
      <c r="L106" s="48"/>
      <c r="M106" s="49"/>
      <c r="N106" s="49"/>
      <c r="O106" s="49"/>
      <c r="P106" s="49"/>
      <c r="Q106" s="49"/>
      <c r="R106" s="49"/>
      <c r="S106" s="49"/>
      <c r="T106" s="49"/>
      <c r="U106" s="49"/>
      <c r="V106" s="41"/>
      <c r="W106" s="115"/>
      <c r="X106" s="115"/>
      <c r="Y106" s="115"/>
      <c r="Z106" s="115"/>
      <c r="AA106" s="115"/>
      <c r="AB106" s="115"/>
      <c r="AC106" s="113">
        <f t="shared" si="2"/>
        <v>0</v>
      </c>
      <c r="AD106" s="108" t="s">
        <v>118</v>
      </c>
    </row>
    <row r="107" spans="1:30" ht="24" thickBot="1" thickTop="1">
      <c r="A107" s="38">
        <v>35921</v>
      </c>
      <c r="B107" s="39" t="s">
        <v>829</v>
      </c>
      <c r="C107" s="40" t="s">
        <v>117</v>
      </c>
      <c r="D107" s="40" t="s">
        <v>821</v>
      </c>
      <c r="E107" s="48"/>
      <c r="F107" s="48"/>
      <c r="G107" s="48"/>
      <c r="H107" s="48">
        <v>28552</v>
      </c>
      <c r="I107" s="48">
        <v>200</v>
      </c>
      <c r="J107" s="48">
        <v>200</v>
      </c>
      <c r="K107" s="48">
        <v>50</v>
      </c>
      <c r="L107" s="48"/>
      <c r="M107" s="49"/>
      <c r="N107" s="49"/>
      <c r="O107" s="49"/>
      <c r="P107" s="49"/>
      <c r="Q107" s="49"/>
      <c r="R107" s="49"/>
      <c r="S107" s="49"/>
      <c r="T107" s="49"/>
      <c r="U107" s="49"/>
      <c r="V107" s="41" t="s">
        <v>218</v>
      </c>
      <c r="W107" s="115">
        <v>3869252.36</v>
      </c>
      <c r="X107" s="115">
        <v>1150000</v>
      </c>
      <c r="Y107" s="115"/>
      <c r="Z107" s="115"/>
      <c r="AA107" s="115"/>
      <c r="AB107" s="115"/>
      <c r="AC107" s="113">
        <f t="shared" si="2"/>
        <v>5019252.359999999</v>
      </c>
      <c r="AD107" s="108" t="s">
        <v>219</v>
      </c>
    </row>
    <row r="108" spans="1:30" ht="34.5" thickBot="1" thickTop="1">
      <c r="A108" s="38">
        <v>36143</v>
      </c>
      <c r="B108" s="39" t="s">
        <v>829</v>
      </c>
      <c r="C108" s="40" t="s">
        <v>117</v>
      </c>
      <c r="D108" s="40" t="s">
        <v>821</v>
      </c>
      <c r="E108" s="48"/>
      <c r="F108" s="48"/>
      <c r="G108" s="48"/>
      <c r="H108" s="48">
        <v>28552</v>
      </c>
      <c r="I108" s="48">
        <v>300</v>
      </c>
      <c r="J108" s="48">
        <v>0</v>
      </c>
      <c r="K108" s="48">
        <v>60</v>
      </c>
      <c r="L108" s="48"/>
      <c r="M108" s="49"/>
      <c r="N108" s="49"/>
      <c r="O108" s="49"/>
      <c r="P108" s="49"/>
      <c r="Q108" s="49"/>
      <c r="R108" s="49"/>
      <c r="S108" s="49"/>
      <c r="T108" s="49"/>
      <c r="U108" s="49"/>
      <c r="V108" s="41"/>
      <c r="W108" s="115"/>
      <c r="X108" s="115"/>
      <c r="Y108" s="115"/>
      <c r="Z108" s="115"/>
      <c r="AA108" s="115"/>
      <c r="AB108" s="115"/>
      <c r="AC108" s="113">
        <f t="shared" si="2"/>
        <v>0</v>
      </c>
      <c r="AD108" s="108" t="s">
        <v>562</v>
      </c>
    </row>
    <row r="109" spans="1:30" ht="18" thickBot="1" thickTop="1">
      <c r="A109" s="38">
        <v>35907</v>
      </c>
      <c r="B109" s="39" t="s">
        <v>829</v>
      </c>
      <c r="C109" s="40" t="s">
        <v>119</v>
      </c>
      <c r="D109" s="40" t="s">
        <v>891</v>
      </c>
      <c r="E109" s="48"/>
      <c r="F109" s="48"/>
      <c r="G109" s="48"/>
      <c r="H109" s="48">
        <v>12145</v>
      </c>
      <c r="I109" s="48">
        <v>200</v>
      </c>
      <c r="J109" s="48">
        <v>0</v>
      </c>
      <c r="K109" s="48">
        <v>40</v>
      </c>
      <c r="L109" s="48"/>
      <c r="M109" s="49"/>
      <c r="N109" s="49"/>
      <c r="O109" s="49"/>
      <c r="P109" s="49"/>
      <c r="Q109" s="49"/>
      <c r="R109" s="49"/>
      <c r="S109" s="49"/>
      <c r="T109" s="49"/>
      <c r="U109" s="49"/>
      <c r="V109" s="41" t="s">
        <v>120</v>
      </c>
      <c r="W109" s="115"/>
      <c r="X109" s="115"/>
      <c r="Y109" s="115"/>
      <c r="Z109" s="115"/>
      <c r="AA109" s="115"/>
      <c r="AB109" s="115"/>
      <c r="AC109" s="113">
        <f t="shared" si="2"/>
        <v>0</v>
      </c>
      <c r="AD109" s="108" t="s">
        <v>121</v>
      </c>
    </row>
    <row r="110" spans="1:30" ht="14.25" thickBot="1" thickTop="1">
      <c r="A110" s="38">
        <v>35921</v>
      </c>
      <c r="B110" s="39" t="s">
        <v>829</v>
      </c>
      <c r="C110" s="40" t="s">
        <v>119</v>
      </c>
      <c r="D110" s="40" t="s">
        <v>821</v>
      </c>
      <c r="E110" s="48"/>
      <c r="F110" s="48"/>
      <c r="G110" s="48"/>
      <c r="H110" s="48">
        <v>12145</v>
      </c>
      <c r="I110" s="48">
        <v>335</v>
      </c>
      <c r="J110" s="48">
        <v>0</v>
      </c>
      <c r="K110" s="48">
        <v>65</v>
      </c>
      <c r="L110" s="48"/>
      <c r="M110" s="49"/>
      <c r="N110" s="49"/>
      <c r="O110" s="49"/>
      <c r="P110" s="49"/>
      <c r="Q110" s="49"/>
      <c r="R110" s="49"/>
      <c r="S110" s="49"/>
      <c r="T110" s="49"/>
      <c r="U110" s="49"/>
      <c r="V110" s="41"/>
      <c r="W110" s="115"/>
      <c r="X110" s="115"/>
      <c r="Y110" s="115"/>
      <c r="Z110" s="115"/>
      <c r="AA110" s="115"/>
      <c r="AB110" s="115"/>
      <c r="AC110" s="113">
        <f t="shared" si="2"/>
        <v>0</v>
      </c>
      <c r="AD110" s="108" t="s">
        <v>220</v>
      </c>
    </row>
    <row r="111" spans="1:31" ht="18" thickBot="1" thickTop="1">
      <c r="A111" s="38">
        <v>36121</v>
      </c>
      <c r="B111" s="39" t="s">
        <v>829</v>
      </c>
      <c r="C111" s="40" t="s">
        <v>119</v>
      </c>
      <c r="D111" s="40" t="s">
        <v>891</v>
      </c>
      <c r="E111" s="48">
        <v>1</v>
      </c>
      <c r="F111" s="48">
        <v>3</v>
      </c>
      <c r="G111" s="48"/>
      <c r="H111" s="48">
        <v>12145</v>
      </c>
      <c r="I111" s="48">
        <f>65*5</f>
        <v>325</v>
      </c>
      <c r="J111" s="48">
        <f>65*5</f>
        <v>325</v>
      </c>
      <c r="K111" s="48">
        <v>65</v>
      </c>
      <c r="L111" s="48">
        <v>28</v>
      </c>
      <c r="M111" s="49">
        <v>37</v>
      </c>
      <c r="N111" s="49">
        <v>2</v>
      </c>
      <c r="O111" s="49"/>
      <c r="P111" s="49"/>
      <c r="Q111" s="49"/>
      <c r="R111" s="49"/>
      <c r="S111" s="49"/>
      <c r="T111" s="49"/>
      <c r="U111" s="49"/>
      <c r="V111" s="41"/>
      <c r="W111" s="115">
        <v>14071991.119999997</v>
      </c>
      <c r="X111" s="115">
        <v>1903616</v>
      </c>
      <c r="Y111" s="115">
        <v>5465920</v>
      </c>
      <c r="Z111" s="115"/>
      <c r="AA111" s="115"/>
      <c r="AB111" s="115"/>
      <c r="AC111" s="113">
        <f t="shared" si="2"/>
        <v>21441527.119999997</v>
      </c>
      <c r="AD111" s="108" t="s">
        <v>327</v>
      </c>
      <c r="AE111" s="4" t="s">
        <v>594</v>
      </c>
    </row>
    <row r="112" spans="1:30" ht="26.25" thickBot="1" thickTop="1">
      <c r="A112" s="38">
        <v>36008</v>
      </c>
      <c r="B112" s="39" t="s">
        <v>829</v>
      </c>
      <c r="C112" s="40" t="s">
        <v>589</v>
      </c>
      <c r="D112" s="40" t="s">
        <v>891</v>
      </c>
      <c r="E112" s="48"/>
      <c r="F112" s="48"/>
      <c r="G112" s="48"/>
      <c r="H112" s="48">
        <v>11560</v>
      </c>
      <c r="I112" s="48">
        <v>24</v>
      </c>
      <c r="J112" s="48">
        <v>0</v>
      </c>
      <c r="K112" s="48">
        <v>9</v>
      </c>
      <c r="L112" s="48"/>
      <c r="M112" s="49"/>
      <c r="N112" s="49">
        <v>1</v>
      </c>
      <c r="O112" s="49"/>
      <c r="P112" s="49"/>
      <c r="Q112" s="49"/>
      <c r="R112" s="49"/>
      <c r="S112" s="49"/>
      <c r="T112" s="49"/>
      <c r="U112" s="49"/>
      <c r="V112" s="41" t="s">
        <v>94</v>
      </c>
      <c r="W112" s="115"/>
      <c r="X112" s="115"/>
      <c r="Y112" s="115"/>
      <c r="Z112" s="115"/>
      <c r="AA112" s="115"/>
      <c r="AB112" s="115"/>
      <c r="AC112" s="113">
        <f t="shared" si="2"/>
        <v>0</v>
      </c>
      <c r="AD112" s="108" t="s">
        <v>590</v>
      </c>
    </row>
    <row r="113" spans="1:30" ht="18" thickBot="1" thickTop="1">
      <c r="A113" s="38">
        <v>36040</v>
      </c>
      <c r="B113" s="39" t="s">
        <v>829</v>
      </c>
      <c r="C113" s="40" t="s">
        <v>589</v>
      </c>
      <c r="D113" s="40" t="s">
        <v>891</v>
      </c>
      <c r="E113" s="48"/>
      <c r="F113" s="48"/>
      <c r="G113" s="48"/>
      <c r="H113" s="48">
        <v>11560</v>
      </c>
      <c r="I113" s="48">
        <f>19*5</f>
        <v>95</v>
      </c>
      <c r="J113" s="48">
        <v>0</v>
      </c>
      <c r="K113" s="48">
        <v>19</v>
      </c>
      <c r="L113" s="48">
        <v>9</v>
      </c>
      <c r="M113" s="49"/>
      <c r="N113" s="49">
        <v>1</v>
      </c>
      <c r="O113" s="49"/>
      <c r="P113" s="49"/>
      <c r="Q113" s="49"/>
      <c r="R113" s="49"/>
      <c r="S113" s="49"/>
      <c r="T113" s="49"/>
      <c r="U113" s="49"/>
      <c r="V113" s="41"/>
      <c r="W113" s="115"/>
      <c r="X113" s="115"/>
      <c r="Y113" s="115"/>
      <c r="Z113" s="115"/>
      <c r="AA113" s="115"/>
      <c r="AB113" s="115"/>
      <c r="AC113" s="113">
        <f t="shared" si="2"/>
        <v>0</v>
      </c>
      <c r="AD113" s="108" t="s">
        <v>721</v>
      </c>
    </row>
    <row r="114" spans="1:30" ht="14.25" thickBot="1" thickTop="1">
      <c r="A114" s="38">
        <v>36075</v>
      </c>
      <c r="B114" s="39" t="s">
        <v>829</v>
      </c>
      <c r="C114" s="40" t="s">
        <v>589</v>
      </c>
      <c r="D114" s="40" t="s">
        <v>821</v>
      </c>
      <c r="E114" s="48"/>
      <c r="F114" s="48"/>
      <c r="G114" s="48"/>
      <c r="H114" s="48">
        <v>11560</v>
      </c>
      <c r="I114" s="48">
        <v>37</v>
      </c>
      <c r="J114" s="48">
        <v>37</v>
      </c>
      <c r="K114" s="48">
        <v>9</v>
      </c>
      <c r="L114" s="48"/>
      <c r="M114" s="49"/>
      <c r="N114" s="49"/>
      <c r="O114" s="49"/>
      <c r="P114" s="49"/>
      <c r="Q114" s="49"/>
      <c r="R114" s="49"/>
      <c r="S114" s="49"/>
      <c r="T114" s="49"/>
      <c r="U114" s="49"/>
      <c r="V114" s="41"/>
      <c r="W114" s="115">
        <v>1441877.67</v>
      </c>
      <c r="X114" s="115">
        <v>207000</v>
      </c>
      <c r="Y114" s="115"/>
      <c r="Z114" s="115"/>
      <c r="AA114" s="115"/>
      <c r="AB114" s="115"/>
      <c r="AC114" s="113">
        <f t="shared" si="2"/>
        <v>1648877.67</v>
      </c>
      <c r="AD114" s="108" t="s">
        <v>742</v>
      </c>
    </row>
    <row r="115" spans="1:30" ht="18" thickBot="1" thickTop="1">
      <c r="A115" s="38">
        <v>35923</v>
      </c>
      <c r="B115" s="39" t="s">
        <v>829</v>
      </c>
      <c r="C115" s="40" t="s">
        <v>229</v>
      </c>
      <c r="D115" s="40" t="s">
        <v>107</v>
      </c>
      <c r="E115" s="48"/>
      <c r="F115" s="48"/>
      <c r="G115" s="48"/>
      <c r="H115" s="48">
        <v>7476</v>
      </c>
      <c r="I115" s="48">
        <v>130</v>
      </c>
      <c r="J115" s="48">
        <v>0</v>
      </c>
      <c r="K115" s="48">
        <v>25</v>
      </c>
      <c r="L115" s="48"/>
      <c r="M115" s="49"/>
      <c r="N115" s="49">
        <v>1</v>
      </c>
      <c r="O115" s="49"/>
      <c r="P115" s="49"/>
      <c r="Q115" s="49"/>
      <c r="R115" s="49"/>
      <c r="S115" s="49"/>
      <c r="T115" s="49"/>
      <c r="U115" s="49"/>
      <c r="V115" s="41" t="s">
        <v>234</v>
      </c>
      <c r="W115" s="115"/>
      <c r="X115" s="115"/>
      <c r="Y115" s="115"/>
      <c r="Z115" s="115"/>
      <c r="AA115" s="115"/>
      <c r="AB115" s="115"/>
      <c r="AC115" s="113">
        <f t="shared" si="2"/>
        <v>0</v>
      </c>
      <c r="AD115" s="108"/>
    </row>
    <row r="116" spans="1:30" ht="14.25" thickBot="1" thickTop="1">
      <c r="A116" s="38">
        <v>35982</v>
      </c>
      <c r="B116" s="39" t="s">
        <v>829</v>
      </c>
      <c r="C116" s="40" t="s">
        <v>508</v>
      </c>
      <c r="D116" s="40" t="s">
        <v>107</v>
      </c>
      <c r="E116" s="48"/>
      <c r="F116" s="48"/>
      <c r="G116" s="48"/>
      <c r="H116" s="48">
        <v>9366</v>
      </c>
      <c r="I116" s="48">
        <v>60</v>
      </c>
      <c r="J116" s="48">
        <v>60</v>
      </c>
      <c r="K116" s="48">
        <v>15</v>
      </c>
      <c r="L116" s="48"/>
      <c r="M116" s="49"/>
      <c r="N116" s="49">
        <v>1</v>
      </c>
      <c r="O116" s="49"/>
      <c r="P116" s="49"/>
      <c r="Q116" s="49"/>
      <c r="R116" s="49"/>
      <c r="S116" s="49"/>
      <c r="T116" s="49"/>
      <c r="U116" s="49"/>
      <c r="V116" s="41"/>
      <c r="W116" s="115">
        <v>591667.65</v>
      </c>
      <c r="X116" s="115">
        <v>345000</v>
      </c>
      <c r="Y116" s="115"/>
      <c r="Z116" s="115"/>
      <c r="AA116" s="115"/>
      <c r="AB116" s="115"/>
      <c r="AC116" s="113">
        <f t="shared" si="2"/>
        <v>936667.65</v>
      </c>
      <c r="AD116" s="108"/>
    </row>
    <row r="117" spans="1:30" ht="14.25" thickBot="1" thickTop="1">
      <c r="A117" s="38">
        <v>35923</v>
      </c>
      <c r="B117" s="39" t="s">
        <v>829</v>
      </c>
      <c r="C117" s="40" t="s">
        <v>230</v>
      </c>
      <c r="D117" s="40" t="s">
        <v>107</v>
      </c>
      <c r="E117" s="48"/>
      <c r="F117" s="48"/>
      <c r="G117" s="48"/>
      <c r="H117" s="48">
        <v>4350</v>
      </c>
      <c r="I117" s="48">
        <v>98</v>
      </c>
      <c r="J117" s="48">
        <v>0</v>
      </c>
      <c r="K117" s="48">
        <v>21</v>
      </c>
      <c r="L117" s="48"/>
      <c r="M117" s="49"/>
      <c r="N117" s="49"/>
      <c r="O117" s="49"/>
      <c r="P117" s="49">
        <v>1</v>
      </c>
      <c r="Q117" s="49">
        <v>1</v>
      </c>
      <c r="R117" s="49"/>
      <c r="S117" s="49"/>
      <c r="T117" s="49"/>
      <c r="U117" s="49"/>
      <c r="V117" s="41"/>
      <c r="W117" s="115"/>
      <c r="X117" s="115"/>
      <c r="Y117" s="115"/>
      <c r="Z117" s="115"/>
      <c r="AA117" s="115"/>
      <c r="AB117" s="115"/>
      <c r="AC117" s="113">
        <f t="shared" si="2"/>
        <v>0</v>
      </c>
      <c r="AD117" s="108"/>
    </row>
    <row r="118" spans="1:30" ht="18" thickBot="1" thickTop="1">
      <c r="A118" s="38">
        <v>35895</v>
      </c>
      <c r="B118" s="39" t="s">
        <v>829</v>
      </c>
      <c r="C118" s="40" t="s">
        <v>875</v>
      </c>
      <c r="D118" s="40" t="s">
        <v>107</v>
      </c>
      <c r="E118" s="48"/>
      <c r="F118" s="48"/>
      <c r="G118" s="48"/>
      <c r="H118" s="48"/>
      <c r="I118" s="48">
        <v>248</v>
      </c>
      <c r="J118" s="48">
        <v>248</v>
      </c>
      <c r="K118" s="48">
        <v>50</v>
      </c>
      <c r="L118" s="48"/>
      <c r="M118" s="49"/>
      <c r="N118" s="49"/>
      <c r="O118" s="49"/>
      <c r="P118" s="49"/>
      <c r="Q118" s="49"/>
      <c r="R118" s="49"/>
      <c r="S118" s="49"/>
      <c r="T118" s="49"/>
      <c r="U118" s="49"/>
      <c r="V118" s="41"/>
      <c r="W118" s="115"/>
      <c r="X118" s="115"/>
      <c r="Y118" s="115"/>
      <c r="Z118" s="115"/>
      <c r="AA118" s="115"/>
      <c r="AB118" s="115">
        <v>5000000</v>
      </c>
      <c r="AC118" s="113">
        <f t="shared" si="2"/>
        <v>5000000</v>
      </c>
      <c r="AD118" s="108" t="s">
        <v>108</v>
      </c>
    </row>
    <row r="119" spans="1:30" ht="14.25" thickBot="1" thickTop="1">
      <c r="A119" s="38">
        <v>35922</v>
      </c>
      <c r="B119" s="39" t="s">
        <v>195</v>
      </c>
      <c r="C119" s="40" t="s">
        <v>244</v>
      </c>
      <c r="D119" s="40" t="s">
        <v>821</v>
      </c>
      <c r="E119" s="48"/>
      <c r="F119" s="48"/>
      <c r="G119" s="48"/>
      <c r="H119" s="48">
        <v>63810</v>
      </c>
      <c r="I119" s="48">
        <v>60</v>
      </c>
      <c r="J119" s="48">
        <v>0</v>
      </c>
      <c r="K119" s="48">
        <v>12</v>
      </c>
      <c r="L119" s="48"/>
      <c r="M119" s="49"/>
      <c r="N119" s="49"/>
      <c r="O119" s="49"/>
      <c r="P119" s="49"/>
      <c r="Q119" s="49"/>
      <c r="R119" s="49"/>
      <c r="S119" s="49"/>
      <c r="T119" s="49"/>
      <c r="U119" s="49"/>
      <c r="V119" s="41"/>
      <c r="W119" s="115"/>
      <c r="X119" s="115"/>
      <c r="Y119" s="115"/>
      <c r="Z119" s="115"/>
      <c r="AA119" s="115"/>
      <c r="AB119" s="115"/>
      <c r="AC119" s="113">
        <f t="shared" si="2"/>
        <v>0</v>
      </c>
      <c r="AD119" s="108"/>
    </row>
    <row r="120" spans="1:30" ht="26.25" thickBot="1" thickTop="1">
      <c r="A120" s="38">
        <v>36099</v>
      </c>
      <c r="B120" s="39" t="s">
        <v>195</v>
      </c>
      <c r="C120" s="40" t="s">
        <v>709</v>
      </c>
      <c r="D120" s="40" t="s">
        <v>879</v>
      </c>
      <c r="E120" s="48"/>
      <c r="F120" s="48"/>
      <c r="G120" s="48"/>
      <c r="H120" s="48">
        <v>327663</v>
      </c>
      <c r="I120" s="48">
        <v>44</v>
      </c>
      <c r="J120" s="48">
        <v>0</v>
      </c>
      <c r="K120" s="48">
        <v>10</v>
      </c>
      <c r="L120" s="48">
        <v>2</v>
      </c>
      <c r="M120" s="49"/>
      <c r="N120" s="49"/>
      <c r="O120" s="49"/>
      <c r="P120" s="49"/>
      <c r="Q120" s="49"/>
      <c r="R120" s="49"/>
      <c r="S120" s="49"/>
      <c r="T120" s="49"/>
      <c r="U120" s="49"/>
      <c r="V120" s="41"/>
      <c r="W120" s="115"/>
      <c r="X120" s="115"/>
      <c r="Y120" s="115"/>
      <c r="Z120" s="115"/>
      <c r="AA120" s="115"/>
      <c r="AB120" s="115"/>
      <c r="AC120" s="113">
        <f t="shared" si="2"/>
        <v>0</v>
      </c>
      <c r="AD120" s="108" t="s">
        <v>710</v>
      </c>
    </row>
    <row r="121" spans="1:30" ht="14.25" thickBot="1" thickTop="1">
      <c r="A121" s="38">
        <v>35922</v>
      </c>
      <c r="B121" s="39" t="s">
        <v>195</v>
      </c>
      <c r="C121" s="40" t="s">
        <v>242</v>
      </c>
      <c r="D121" s="40" t="s">
        <v>891</v>
      </c>
      <c r="E121" s="48"/>
      <c r="F121" s="48"/>
      <c r="G121" s="48"/>
      <c r="H121" s="48">
        <v>7037</v>
      </c>
      <c r="I121" s="48">
        <v>40</v>
      </c>
      <c r="J121" s="48">
        <v>0</v>
      </c>
      <c r="K121" s="48">
        <v>9</v>
      </c>
      <c r="L121" s="48"/>
      <c r="M121" s="49"/>
      <c r="N121" s="49"/>
      <c r="O121" s="49"/>
      <c r="P121" s="49"/>
      <c r="Q121" s="49"/>
      <c r="R121" s="49"/>
      <c r="S121" s="49"/>
      <c r="T121" s="49"/>
      <c r="U121" s="49"/>
      <c r="V121" s="41"/>
      <c r="W121" s="115"/>
      <c r="X121" s="115"/>
      <c r="Y121" s="115"/>
      <c r="Z121" s="115"/>
      <c r="AA121" s="115"/>
      <c r="AB121" s="115"/>
      <c r="AC121" s="113">
        <f t="shared" si="2"/>
        <v>0</v>
      </c>
      <c r="AD121" s="108" t="s">
        <v>243</v>
      </c>
    </row>
    <row r="122" spans="1:30" ht="14.25" thickBot="1" thickTop="1">
      <c r="A122" s="38">
        <v>35922</v>
      </c>
      <c r="B122" s="39" t="s">
        <v>195</v>
      </c>
      <c r="C122" s="40" t="s">
        <v>240</v>
      </c>
      <c r="D122" s="40" t="s">
        <v>891</v>
      </c>
      <c r="E122" s="48"/>
      <c r="F122" s="48"/>
      <c r="G122" s="48"/>
      <c r="H122" s="48">
        <v>13386</v>
      </c>
      <c r="I122" s="48">
        <v>48</v>
      </c>
      <c r="J122" s="48">
        <v>0</v>
      </c>
      <c r="K122" s="48">
        <v>11</v>
      </c>
      <c r="L122" s="48"/>
      <c r="M122" s="49"/>
      <c r="N122" s="49"/>
      <c r="O122" s="49"/>
      <c r="P122" s="49"/>
      <c r="Q122" s="49"/>
      <c r="R122" s="49"/>
      <c r="S122" s="49"/>
      <c r="T122" s="49"/>
      <c r="U122" s="49"/>
      <c r="V122" s="41"/>
      <c r="W122" s="115"/>
      <c r="X122" s="115"/>
      <c r="Y122" s="115"/>
      <c r="Z122" s="115"/>
      <c r="AA122" s="115"/>
      <c r="AB122" s="115"/>
      <c r="AC122" s="113">
        <f t="shared" si="2"/>
        <v>0</v>
      </c>
      <c r="AD122" s="108" t="s">
        <v>241</v>
      </c>
    </row>
    <row r="123" spans="1:30" ht="14.25" thickBot="1" thickTop="1">
      <c r="A123" s="38">
        <v>36114</v>
      </c>
      <c r="B123" s="39" t="s">
        <v>195</v>
      </c>
      <c r="C123" s="40" t="s">
        <v>340</v>
      </c>
      <c r="D123" s="40" t="s">
        <v>911</v>
      </c>
      <c r="E123" s="48"/>
      <c r="F123" s="48"/>
      <c r="G123" s="48"/>
      <c r="H123" s="48">
        <v>23621</v>
      </c>
      <c r="I123" s="48">
        <f>60*5</f>
        <v>300</v>
      </c>
      <c r="J123" s="48">
        <f>60*5</f>
        <v>300</v>
      </c>
      <c r="K123" s="48">
        <v>60</v>
      </c>
      <c r="L123" s="48"/>
      <c r="M123" s="49">
        <v>60</v>
      </c>
      <c r="N123" s="49"/>
      <c r="O123" s="49"/>
      <c r="P123" s="49"/>
      <c r="Q123" s="49"/>
      <c r="R123" s="49"/>
      <c r="S123" s="49"/>
      <c r="T123" s="49"/>
      <c r="U123" s="49"/>
      <c r="V123" s="41"/>
      <c r="W123" s="115"/>
      <c r="X123" s="115"/>
      <c r="Y123" s="115">
        <v>1229832</v>
      </c>
      <c r="Z123" s="115"/>
      <c r="AA123" s="115"/>
      <c r="AB123" s="115"/>
      <c r="AC123" s="113">
        <f t="shared" si="2"/>
        <v>1229832</v>
      </c>
      <c r="AD123" s="108"/>
    </row>
    <row r="124" spans="1:30" ht="14.25" thickBot="1" thickTop="1">
      <c r="A124" s="38">
        <v>35923</v>
      </c>
      <c r="B124" s="39" t="s">
        <v>195</v>
      </c>
      <c r="C124" s="40" t="s">
        <v>245</v>
      </c>
      <c r="D124" s="40" t="s">
        <v>911</v>
      </c>
      <c r="E124" s="48">
        <v>1</v>
      </c>
      <c r="F124" s="48">
        <v>1</v>
      </c>
      <c r="G124" s="48"/>
      <c r="H124" s="48">
        <v>23559</v>
      </c>
      <c r="I124" s="48">
        <v>88</v>
      </c>
      <c r="J124" s="48">
        <v>0</v>
      </c>
      <c r="K124" s="48">
        <v>22</v>
      </c>
      <c r="L124" s="48"/>
      <c r="M124" s="49">
        <v>22</v>
      </c>
      <c r="N124" s="49"/>
      <c r="O124" s="49"/>
      <c r="P124" s="49"/>
      <c r="Q124" s="49"/>
      <c r="R124" s="49"/>
      <c r="S124" s="49"/>
      <c r="T124" s="49"/>
      <c r="U124" s="49"/>
      <c r="V124" s="41"/>
      <c r="W124" s="115"/>
      <c r="X124" s="115"/>
      <c r="Y124" s="115"/>
      <c r="Z124" s="115"/>
      <c r="AA124" s="115"/>
      <c r="AB124" s="115"/>
      <c r="AC124" s="113">
        <f t="shared" si="2"/>
        <v>0</v>
      </c>
      <c r="AD124" s="108" t="s">
        <v>250</v>
      </c>
    </row>
    <row r="125" spans="1:30" ht="14.25" thickBot="1" thickTop="1">
      <c r="A125" s="38">
        <v>35922</v>
      </c>
      <c r="B125" s="39" t="s">
        <v>195</v>
      </c>
      <c r="C125" s="40" t="s">
        <v>78</v>
      </c>
      <c r="D125" s="40" t="s">
        <v>891</v>
      </c>
      <c r="E125" s="48"/>
      <c r="F125" s="48"/>
      <c r="G125" s="48"/>
      <c r="H125" s="48"/>
      <c r="I125" s="48">
        <v>20</v>
      </c>
      <c r="J125" s="48">
        <v>0</v>
      </c>
      <c r="K125" s="48">
        <v>4</v>
      </c>
      <c r="L125" s="48"/>
      <c r="M125" s="49"/>
      <c r="N125" s="49"/>
      <c r="O125" s="49"/>
      <c r="P125" s="49"/>
      <c r="Q125" s="49"/>
      <c r="R125" s="49"/>
      <c r="S125" s="49"/>
      <c r="T125" s="49"/>
      <c r="U125" s="49"/>
      <c r="V125" s="41"/>
      <c r="W125" s="115"/>
      <c r="X125" s="115"/>
      <c r="Y125" s="115"/>
      <c r="Z125" s="115"/>
      <c r="AA125" s="115"/>
      <c r="AB125" s="115"/>
      <c r="AC125" s="113">
        <f t="shared" si="2"/>
        <v>0</v>
      </c>
      <c r="AD125" s="108"/>
    </row>
    <row r="126" spans="1:30" ht="24" thickBot="1" thickTop="1">
      <c r="A126" s="38">
        <v>36045</v>
      </c>
      <c r="B126" s="39" t="s">
        <v>126</v>
      </c>
      <c r="C126" s="40" t="s">
        <v>667</v>
      </c>
      <c r="D126" s="40" t="s">
        <v>911</v>
      </c>
      <c r="E126" s="48"/>
      <c r="F126" s="48"/>
      <c r="G126" s="48"/>
      <c r="H126" s="48">
        <v>9143</v>
      </c>
      <c r="I126" s="48">
        <f>80*5</f>
        <v>400</v>
      </c>
      <c r="J126" s="48">
        <v>0</v>
      </c>
      <c r="K126" s="48">
        <v>80</v>
      </c>
      <c r="L126" s="48"/>
      <c r="M126" s="49"/>
      <c r="N126" s="49"/>
      <c r="O126" s="49"/>
      <c r="P126" s="49"/>
      <c r="Q126" s="49"/>
      <c r="R126" s="49"/>
      <c r="S126" s="49">
        <v>1</v>
      </c>
      <c r="T126" s="49">
        <v>2</v>
      </c>
      <c r="U126" s="49">
        <v>2</v>
      </c>
      <c r="V126" s="41"/>
      <c r="W126" s="115"/>
      <c r="X126" s="115"/>
      <c r="Y126" s="115"/>
      <c r="Z126" s="115"/>
      <c r="AA126" s="115"/>
      <c r="AB126" s="115"/>
      <c r="AC126" s="113">
        <f t="shared" si="2"/>
        <v>0</v>
      </c>
      <c r="AD126" s="108" t="s">
        <v>668</v>
      </c>
    </row>
    <row r="127" spans="1:30" ht="26.25" thickBot="1" thickTop="1">
      <c r="A127" s="38">
        <v>36084</v>
      </c>
      <c r="B127" s="39" t="s">
        <v>126</v>
      </c>
      <c r="C127" s="40" t="s">
        <v>545</v>
      </c>
      <c r="D127" s="40" t="s">
        <v>821</v>
      </c>
      <c r="E127" s="48"/>
      <c r="F127" s="48"/>
      <c r="G127" s="48"/>
      <c r="H127" s="48">
        <v>26443</v>
      </c>
      <c r="I127" s="48">
        <f>72*5</f>
        <v>360</v>
      </c>
      <c r="J127" s="48">
        <f>72*5</f>
        <v>360</v>
      </c>
      <c r="K127" s="48">
        <v>72</v>
      </c>
      <c r="L127" s="48"/>
      <c r="M127" s="49"/>
      <c r="N127" s="49"/>
      <c r="O127" s="49"/>
      <c r="P127" s="49"/>
      <c r="Q127" s="49"/>
      <c r="R127" s="49"/>
      <c r="S127" s="49"/>
      <c r="T127" s="49"/>
      <c r="U127" s="49"/>
      <c r="V127" s="41"/>
      <c r="W127" s="115">
        <v>4484320.4</v>
      </c>
      <c r="X127" s="115"/>
      <c r="Y127" s="115"/>
      <c r="Z127" s="115"/>
      <c r="AA127" s="115"/>
      <c r="AB127" s="115"/>
      <c r="AC127" s="113">
        <f aca="true" t="shared" si="3" ref="AC127:AC181">+W127+X127+Y127+Z127+AA127+AB127</f>
        <v>4484320.4</v>
      </c>
      <c r="AD127" s="108" t="s">
        <v>803</v>
      </c>
    </row>
    <row r="128" spans="1:30" ht="42.75" thickBot="1" thickTop="1">
      <c r="A128" s="38">
        <v>35977</v>
      </c>
      <c r="B128" s="39" t="s">
        <v>126</v>
      </c>
      <c r="C128" s="40" t="s">
        <v>875</v>
      </c>
      <c r="D128" s="40" t="s">
        <v>821</v>
      </c>
      <c r="E128" s="48"/>
      <c r="F128" s="48"/>
      <c r="G128" s="48"/>
      <c r="H128" s="48"/>
      <c r="I128" s="48">
        <v>2569</v>
      </c>
      <c r="J128" s="48">
        <v>2569</v>
      </c>
      <c r="K128" s="48">
        <v>538</v>
      </c>
      <c r="L128" s="48"/>
      <c r="M128" s="49"/>
      <c r="N128" s="49"/>
      <c r="O128" s="49"/>
      <c r="P128" s="49"/>
      <c r="Q128" s="49"/>
      <c r="R128" s="49"/>
      <c r="S128" s="49"/>
      <c r="T128" s="49"/>
      <c r="U128" s="49"/>
      <c r="V128" s="41"/>
      <c r="W128" s="115">
        <v>39383666.10000001</v>
      </c>
      <c r="X128" s="115"/>
      <c r="Y128" s="115"/>
      <c r="Z128" s="115"/>
      <c r="AA128" s="115"/>
      <c r="AB128" s="115"/>
      <c r="AC128" s="113">
        <f t="shared" si="3"/>
        <v>39383666.10000001</v>
      </c>
      <c r="AD128" s="108" t="s">
        <v>509</v>
      </c>
    </row>
    <row r="129" spans="1:30" ht="18" thickBot="1" thickTop="1">
      <c r="A129" s="38">
        <v>36008</v>
      </c>
      <c r="B129" s="39" t="s">
        <v>11</v>
      </c>
      <c r="C129" s="40" t="s">
        <v>630</v>
      </c>
      <c r="D129" s="40" t="s">
        <v>821</v>
      </c>
      <c r="E129" s="48"/>
      <c r="F129" s="48"/>
      <c r="G129" s="48"/>
      <c r="H129" s="48">
        <v>12756</v>
      </c>
      <c r="I129" s="48">
        <v>315</v>
      </c>
      <c r="J129" s="48">
        <v>0</v>
      </c>
      <c r="K129" s="48">
        <v>63</v>
      </c>
      <c r="L129" s="48">
        <v>19</v>
      </c>
      <c r="M129" s="49">
        <v>8</v>
      </c>
      <c r="N129" s="49">
        <v>2</v>
      </c>
      <c r="O129" s="49">
        <v>1</v>
      </c>
      <c r="P129" s="49"/>
      <c r="Q129" s="49"/>
      <c r="R129" s="49"/>
      <c r="S129" s="49"/>
      <c r="T129" s="49"/>
      <c r="U129" s="49"/>
      <c r="V129" s="41" t="s">
        <v>631</v>
      </c>
      <c r="W129" s="115"/>
      <c r="X129" s="115"/>
      <c r="Y129" s="115"/>
      <c r="Z129" s="115"/>
      <c r="AA129" s="115"/>
      <c r="AB129" s="115"/>
      <c r="AC129" s="113">
        <f t="shared" si="3"/>
        <v>0</v>
      </c>
      <c r="AD129" s="108"/>
    </row>
    <row r="130" spans="1:30" ht="34.5" thickBot="1" thickTop="1">
      <c r="A130" s="38">
        <v>36008</v>
      </c>
      <c r="B130" s="39" t="s">
        <v>11</v>
      </c>
      <c r="C130" s="40" t="s">
        <v>596</v>
      </c>
      <c r="D130" s="40" t="s">
        <v>821</v>
      </c>
      <c r="E130" s="48"/>
      <c r="F130" s="48"/>
      <c r="G130" s="48"/>
      <c r="H130" s="48">
        <v>5653</v>
      </c>
      <c r="I130" s="48">
        <v>428</v>
      </c>
      <c r="J130" s="48">
        <v>0</v>
      </c>
      <c r="K130" s="48">
        <v>67</v>
      </c>
      <c r="L130" s="48">
        <v>9</v>
      </c>
      <c r="M130" s="49">
        <v>30</v>
      </c>
      <c r="N130" s="49">
        <v>2</v>
      </c>
      <c r="O130" s="49"/>
      <c r="P130" s="49"/>
      <c r="Q130" s="49"/>
      <c r="R130" s="49"/>
      <c r="S130" s="49"/>
      <c r="T130" s="49"/>
      <c r="U130" s="49"/>
      <c r="V130" s="41" t="s">
        <v>597</v>
      </c>
      <c r="W130" s="115"/>
      <c r="X130" s="115"/>
      <c r="Y130" s="115"/>
      <c r="Z130" s="115"/>
      <c r="AA130" s="115"/>
      <c r="AB130" s="115"/>
      <c r="AC130" s="113">
        <f t="shared" si="3"/>
        <v>0</v>
      </c>
      <c r="AD130" s="108"/>
    </row>
    <row r="131" spans="1:30" ht="26.25" thickBot="1" thickTop="1">
      <c r="A131" s="38">
        <v>36008</v>
      </c>
      <c r="B131" s="39" t="s">
        <v>11</v>
      </c>
      <c r="C131" s="40" t="s">
        <v>592</v>
      </c>
      <c r="D131" s="40" t="s">
        <v>821</v>
      </c>
      <c r="E131" s="48"/>
      <c r="F131" s="48"/>
      <c r="G131" s="48"/>
      <c r="H131" s="48">
        <v>8722</v>
      </c>
      <c r="I131" s="48">
        <v>668</v>
      </c>
      <c r="J131" s="48">
        <v>0</v>
      </c>
      <c r="K131" s="48">
        <v>209</v>
      </c>
      <c r="L131" s="48">
        <v>20</v>
      </c>
      <c r="M131" s="49">
        <v>97</v>
      </c>
      <c r="N131" s="49">
        <v>1</v>
      </c>
      <c r="O131" s="49"/>
      <c r="P131" s="49"/>
      <c r="Q131" s="49"/>
      <c r="R131" s="49"/>
      <c r="S131" s="49"/>
      <c r="T131" s="49"/>
      <c r="U131" s="49"/>
      <c r="V131" s="41" t="s">
        <v>595</v>
      </c>
      <c r="W131" s="115"/>
      <c r="X131" s="115"/>
      <c r="Y131" s="115"/>
      <c r="Z131" s="115"/>
      <c r="AA131" s="115"/>
      <c r="AB131" s="115"/>
      <c r="AC131" s="113">
        <f t="shared" si="3"/>
        <v>0</v>
      </c>
      <c r="AD131" s="108"/>
    </row>
    <row r="132" spans="1:30" ht="18" thickBot="1" thickTop="1">
      <c r="A132" s="38">
        <v>36008</v>
      </c>
      <c r="B132" s="39" t="s">
        <v>11</v>
      </c>
      <c r="C132" s="40" t="s">
        <v>609</v>
      </c>
      <c r="D132" s="40" t="s">
        <v>821</v>
      </c>
      <c r="E132" s="48"/>
      <c r="F132" s="48"/>
      <c r="G132" s="48"/>
      <c r="H132" s="48">
        <v>6894</v>
      </c>
      <c r="I132" s="48">
        <v>6</v>
      </c>
      <c r="J132" s="48">
        <v>0</v>
      </c>
      <c r="K132" s="48">
        <v>1</v>
      </c>
      <c r="L132" s="48"/>
      <c r="M132" s="49"/>
      <c r="N132" s="49"/>
      <c r="O132" s="49"/>
      <c r="P132" s="49"/>
      <c r="Q132" s="49"/>
      <c r="R132" s="49"/>
      <c r="S132" s="49"/>
      <c r="T132" s="49"/>
      <c r="U132" s="49"/>
      <c r="V132" s="41" t="s">
        <v>611</v>
      </c>
      <c r="W132" s="115"/>
      <c r="X132" s="115"/>
      <c r="Y132" s="115"/>
      <c r="Z132" s="115"/>
      <c r="AA132" s="115"/>
      <c r="AB132" s="115"/>
      <c r="AC132" s="113">
        <f t="shared" si="3"/>
        <v>0</v>
      </c>
      <c r="AD132" s="108"/>
    </row>
    <row r="133" spans="1:30" ht="18" thickBot="1" thickTop="1">
      <c r="A133" s="38">
        <v>36008</v>
      </c>
      <c r="B133" s="39" t="s">
        <v>11</v>
      </c>
      <c r="C133" s="40" t="s">
        <v>598</v>
      </c>
      <c r="D133" s="40" t="s">
        <v>821</v>
      </c>
      <c r="E133" s="48"/>
      <c r="F133" s="48"/>
      <c r="G133" s="48"/>
      <c r="H133" s="48">
        <v>4784</v>
      </c>
      <c r="I133" s="48">
        <v>586</v>
      </c>
      <c r="J133" s="48">
        <v>0</v>
      </c>
      <c r="K133" s="48">
        <v>140</v>
      </c>
      <c r="L133" s="48">
        <v>7</v>
      </c>
      <c r="M133" s="49"/>
      <c r="N133" s="49">
        <v>1</v>
      </c>
      <c r="O133" s="49"/>
      <c r="P133" s="49"/>
      <c r="Q133" s="49"/>
      <c r="R133" s="49"/>
      <c r="S133" s="49"/>
      <c r="T133" s="49"/>
      <c r="U133" s="49"/>
      <c r="V133" s="41" t="s">
        <v>599</v>
      </c>
      <c r="W133" s="115"/>
      <c r="X133" s="115"/>
      <c r="Y133" s="115"/>
      <c r="Z133" s="115"/>
      <c r="AA133" s="115"/>
      <c r="AB133" s="115"/>
      <c r="AC133" s="113">
        <f t="shared" si="3"/>
        <v>0</v>
      </c>
      <c r="AD133" s="108"/>
    </row>
    <row r="134" spans="1:30" ht="24" thickBot="1" thickTop="1">
      <c r="A134" s="38">
        <v>36008</v>
      </c>
      <c r="B134" s="39" t="s">
        <v>11</v>
      </c>
      <c r="C134" s="40" t="s">
        <v>601</v>
      </c>
      <c r="D134" s="40" t="s">
        <v>821</v>
      </c>
      <c r="E134" s="48"/>
      <c r="F134" s="48"/>
      <c r="G134" s="48"/>
      <c r="H134" s="48">
        <v>18349</v>
      </c>
      <c r="I134" s="48">
        <v>214</v>
      </c>
      <c r="J134" s="48">
        <v>0</v>
      </c>
      <c r="K134" s="48">
        <v>40</v>
      </c>
      <c r="L134" s="48"/>
      <c r="M134" s="49">
        <v>40</v>
      </c>
      <c r="N134" s="49">
        <v>1</v>
      </c>
      <c r="O134" s="49"/>
      <c r="P134" s="49"/>
      <c r="Q134" s="49"/>
      <c r="R134" s="49"/>
      <c r="S134" s="49"/>
      <c r="T134" s="49"/>
      <c r="U134" s="49"/>
      <c r="V134" s="41" t="s">
        <v>602</v>
      </c>
      <c r="W134" s="115"/>
      <c r="X134" s="115"/>
      <c r="Y134" s="115"/>
      <c r="Z134" s="115"/>
      <c r="AA134" s="115"/>
      <c r="AB134" s="115"/>
      <c r="AC134" s="113">
        <f t="shared" si="3"/>
        <v>0</v>
      </c>
      <c r="AD134" s="108"/>
    </row>
    <row r="135" spans="1:30" ht="18" thickBot="1" thickTop="1">
      <c r="A135" s="38">
        <v>36008</v>
      </c>
      <c r="B135" s="39" t="s">
        <v>11</v>
      </c>
      <c r="C135" s="40" t="s">
        <v>605</v>
      </c>
      <c r="D135" s="40" t="s">
        <v>821</v>
      </c>
      <c r="E135" s="48"/>
      <c r="F135" s="48"/>
      <c r="G135" s="48"/>
      <c r="H135" s="48">
        <v>6490</v>
      </c>
      <c r="I135" s="48">
        <v>19</v>
      </c>
      <c r="J135" s="48">
        <v>0</v>
      </c>
      <c r="K135" s="48">
        <v>4</v>
      </c>
      <c r="L135" s="48">
        <v>2</v>
      </c>
      <c r="M135" s="49">
        <v>1</v>
      </c>
      <c r="N135" s="49"/>
      <c r="O135" s="49"/>
      <c r="P135" s="49"/>
      <c r="Q135" s="49"/>
      <c r="R135" s="49"/>
      <c r="S135" s="49"/>
      <c r="T135" s="49"/>
      <c r="U135" s="49"/>
      <c r="V135" s="41" t="s">
        <v>606</v>
      </c>
      <c r="W135" s="115"/>
      <c r="X135" s="115"/>
      <c r="Y135" s="115"/>
      <c r="Z135" s="115"/>
      <c r="AA135" s="115"/>
      <c r="AB135" s="115"/>
      <c r="AC135" s="113">
        <f t="shared" si="3"/>
        <v>0</v>
      </c>
      <c r="AD135" s="108"/>
    </row>
    <row r="136" spans="1:30" ht="18" thickBot="1" thickTop="1">
      <c r="A136" s="38">
        <v>36008</v>
      </c>
      <c r="B136" s="39" t="s">
        <v>11</v>
      </c>
      <c r="C136" s="40" t="s">
        <v>612</v>
      </c>
      <c r="D136" s="40" t="s">
        <v>821</v>
      </c>
      <c r="E136" s="48"/>
      <c r="F136" s="48"/>
      <c r="G136" s="48"/>
      <c r="H136" s="48">
        <v>114</v>
      </c>
      <c r="I136" s="48">
        <v>13</v>
      </c>
      <c r="J136" s="48">
        <v>0</v>
      </c>
      <c r="K136" s="48">
        <v>4</v>
      </c>
      <c r="L136" s="48">
        <v>2</v>
      </c>
      <c r="M136" s="49">
        <v>2</v>
      </c>
      <c r="N136" s="49">
        <v>1</v>
      </c>
      <c r="O136" s="49">
        <v>6</v>
      </c>
      <c r="P136" s="49"/>
      <c r="Q136" s="49"/>
      <c r="R136" s="49"/>
      <c r="S136" s="49"/>
      <c r="T136" s="49"/>
      <c r="U136" s="49"/>
      <c r="V136" s="41" t="s">
        <v>628</v>
      </c>
      <c r="W136" s="115"/>
      <c r="X136" s="115"/>
      <c r="Y136" s="115"/>
      <c r="Z136" s="115"/>
      <c r="AA136" s="115"/>
      <c r="AB136" s="115"/>
      <c r="AC136" s="113">
        <f t="shared" si="3"/>
        <v>0</v>
      </c>
      <c r="AD136" s="108"/>
    </row>
    <row r="137" spans="1:30" ht="18" thickBot="1" thickTop="1">
      <c r="A137" s="38">
        <v>36008</v>
      </c>
      <c r="B137" s="39" t="s">
        <v>11</v>
      </c>
      <c r="C137" s="40" t="s">
        <v>607</v>
      </c>
      <c r="D137" s="40" t="s">
        <v>821</v>
      </c>
      <c r="E137" s="48"/>
      <c r="F137" s="48"/>
      <c r="G137" s="48"/>
      <c r="H137" s="48">
        <v>2745</v>
      </c>
      <c r="I137" s="48">
        <v>231</v>
      </c>
      <c r="J137" s="48">
        <v>0</v>
      </c>
      <c r="K137" s="48">
        <v>50</v>
      </c>
      <c r="L137" s="48">
        <v>14</v>
      </c>
      <c r="M137" s="49">
        <v>36</v>
      </c>
      <c r="N137" s="49">
        <v>1</v>
      </c>
      <c r="O137" s="49"/>
      <c r="P137" s="49"/>
      <c r="Q137" s="49">
        <v>1</v>
      </c>
      <c r="R137" s="49"/>
      <c r="S137" s="49"/>
      <c r="T137" s="49"/>
      <c r="U137" s="49"/>
      <c r="V137" s="41" t="s">
        <v>608</v>
      </c>
      <c r="W137" s="115"/>
      <c r="X137" s="115"/>
      <c r="Y137" s="115"/>
      <c r="Z137" s="115"/>
      <c r="AA137" s="115"/>
      <c r="AB137" s="115"/>
      <c r="AC137" s="113">
        <f t="shared" si="3"/>
        <v>0</v>
      </c>
      <c r="AD137" s="108"/>
    </row>
    <row r="138" spans="1:30" ht="24" thickBot="1" thickTop="1">
      <c r="A138" s="38">
        <v>36008</v>
      </c>
      <c r="B138" s="39" t="s">
        <v>11</v>
      </c>
      <c r="C138" s="40" t="s">
        <v>603</v>
      </c>
      <c r="D138" s="40" t="s">
        <v>821</v>
      </c>
      <c r="E138" s="48"/>
      <c r="F138" s="48"/>
      <c r="G138" s="48"/>
      <c r="H138" s="48">
        <v>5566</v>
      </c>
      <c r="I138" s="48">
        <v>141</v>
      </c>
      <c r="J138" s="48">
        <v>0</v>
      </c>
      <c r="K138" s="48">
        <v>34</v>
      </c>
      <c r="L138" s="48"/>
      <c r="M138" s="49">
        <v>34</v>
      </c>
      <c r="N138" s="49"/>
      <c r="O138" s="49"/>
      <c r="P138" s="49"/>
      <c r="Q138" s="49"/>
      <c r="R138" s="49"/>
      <c r="S138" s="49"/>
      <c r="T138" s="49"/>
      <c r="U138" s="49"/>
      <c r="V138" s="41" t="s">
        <v>604</v>
      </c>
      <c r="W138" s="115"/>
      <c r="X138" s="115"/>
      <c r="Y138" s="115"/>
      <c r="Z138" s="115"/>
      <c r="AA138" s="115"/>
      <c r="AB138" s="115"/>
      <c r="AC138" s="113">
        <f t="shared" si="3"/>
        <v>0</v>
      </c>
      <c r="AD138" s="108"/>
    </row>
    <row r="139" spans="1:30" ht="18" thickBot="1" thickTop="1">
      <c r="A139" s="38">
        <v>35982</v>
      </c>
      <c r="B139" s="39" t="s">
        <v>11</v>
      </c>
      <c r="C139" s="40" t="s">
        <v>510</v>
      </c>
      <c r="D139" s="40" t="s">
        <v>821</v>
      </c>
      <c r="E139" s="48"/>
      <c r="F139" s="48"/>
      <c r="G139" s="48"/>
      <c r="H139" s="48">
        <v>5323</v>
      </c>
      <c r="I139" s="48">
        <v>52</v>
      </c>
      <c r="J139" s="48">
        <v>0</v>
      </c>
      <c r="K139" s="48">
        <v>19</v>
      </c>
      <c r="L139" s="48"/>
      <c r="M139" s="49"/>
      <c r="N139" s="49"/>
      <c r="O139" s="49"/>
      <c r="P139" s="49"/>
      <c r="Q139" s="49"/>
      <c r="R139" s="49"/>
      <c r="S139" s="49"/>
      <c r="T139" s="49"/>
      <c r="U139" s="49"/>
      <c r="V139" s="41"/>
      <c r="W139" s="115"/>
      <c r="X139" s="115"/>
      <c r="Y139" s="115"/>
      <c r="Z139" s="115"/>
      <c r="AA139" s="115"/>
      <c r="AB139" s="115"/>
      <c r="AC139" s="113">
        <f t="shared" si="3"/>
        <v>0</v>
      </c>
      <c r="AD139" s="108" t="s">
        <v>511</v>
      </c>
    </row>
    <row r="140" spans="1:30" ht="18" thickBot="1" thickTop="1">
      <c r="A140" s="38">
        <v>36008</v>
      </c>
      <c r="B140" s="39" t="s">
        <v>11</v>
      </c>
      <c r="C140" s="40" t="s">
        <v>510</v>
      </c>
      <c r="D140" s="40" t="s">
        <v>821</v>
      </c>
      <c r="E140" s="48"/>
      <c r="F140" s="48"/>
      <c r="G140" s="48"/>
      <c r="H140" s="48">
        <v>5323</v>
      </c>
      <c r="I140" s="48">
        <v>191</v>
      </c>
      <c r="J140" s="48">
        <v>0</v>
      </c>
      <c r="K140" s="48">
        <v>54</v>
      </c>
      <c r="L140" s="48">
        <v>3</v>
      </c>
      <c r="M140" s="49">
        <v>46</v>
      </c>
      <c r="N140" s="49">
        <v>1</v>
      </c>
      <c r="O140" s="49"/>
      <c r="P140" s="49"/>
      <c r="Q140" s="49"/>
      <c r="R140" s="49"/>
      <c r="S140" s="49"/>
      <c r="T140" s="49"/>
      <c r="U140" s="49"/>
      <c r="V140" s="41" t="s">
        <v>600</v>
      </c>
      <c r="W140" s="115"/>
      <c r="X140" s="115"/>
      <c r="Y140" s="115"/>
      <c r="Z140" s="115"/>
      <c r="AA140" s="115"/>
      <c r="AB140" s="115"/>
      <c r="AC140" s="113">
        <f t="shared" si="3"/>
        <v>0</v>
      </c>
      <c r="AD140" s="108"/>
    </row>
    <row r="141" spans="1:30" ht="18" thickBot="1" thickTop="1">
      <c r="A141" s="38">
        <v>36008</v>
      </c>
      <c r="B141" s="39" t="s">
        <v>11</v>
      </c>
      <c r="C141" s="40" t="s">
        <v>875</v>
      </c>
      <c r="D141" s="40" t="s">
        <v>821</v>
      </c>
      <c r="E141" s="48"/>
      <c r="F141" s="48"/>
      <c r="G141" s="48"/>
      <c r="H141" s="48"/>
      <c r="I141" s="48"/>
      <c r="J141" s="48"/>
      <c r="K141" s="48"/>
      <c r="L141" s="48"/>
      <c r="M141" s="49"/>
      <c r="N141" s="49"/>
      <c r="O141" s="49"/>
      <c r="P141" s="49"/>
      <c r="Q141" s="49"/>
      <c r="R141" s="49"/>
      <c r="S141" s="49"/>
      <c r="T141" s="49"/>
      <c r="U141" s="49"/>
      <c r="V141" s="41"/>
      <c r="W141" s="115">
        <v>7632682</v>
      </c>
      <c r="X141" s="115">
        <v>9200000</v>
      </c>
      <c r="Y141" s="115">
        <v>1377152</v>
      </c>
      <c r="Z141" s="115"/>
      <c r="AA141" s="115"/>
      <c r="AB141" s="115"/>
      <c r="AC141" s="113">
        <f t="shared" si="3"/>
        <v>18209834</v>
      </c>
      <c r="AD141" s="108" t="s">
        <v>633</v>
      </c>
    </row>
    <row r="142" spans="1:30" ht="26.25" thickBot="1" thickTop="1">
      <c r="A142" s="38">
        <v>36008</v>
      </c>
      <c r="B142" s="39" t="s">
        <v>11</v>
      </c>
      <c r="C142" s="40" t="s">
        <v>60</v>
      </c>
      <c r="D142" s="40" t="s">
        <v>821</v>
      </c>
      <c r="E142" s="48"/>
      <c r="F142" s="48"/>
      <c r="G142" s="48"/>
      <c r="H142" s="48">
        <v>14304</v>
      </c>
      <c r="I142" s="48">
        <v>376</v>
      </c>
      <c r="J142" s="48">
        <v>0</v>
      </c>
      <c r="K142" s="48">
        <v>105</v>
      </c>
      <c r="L142" s="48">
        <v>42</v>
      </c>
      <c r="M142" s="49">
        <v>37</v>
      </c>
      <c r="N142" s="49"/>
      <c r="O142" s="49">
        <v>1</v>
      </c>
      <c r="P142" s="49"/>
      <c r="Q142" s="49"/>
      <c r="R142" s="49"/>
      <c r="S142" s="49"/>
      <c r="T142" s="49"/>
      <c r="U142" s="49"/>
      <c r="V142" s="41" t="s">
        <v>629</v>
      </c>
      <c r="W142" s="115"/>
      <c r="X142" s="115"/>
      <c r="Y142" s="115"/>
      <c r="Z142" s="115"/>
      <c r="AA142" s="115"/>
      <c r="AB142" s="115"/>
      <c r="AC142" s="113">
        <f t="shared" si="3"/>
        <v>0</v>
      </c>
      <c r="AD142" s="108"/>
    </row>
    <row r="143" spans="1:30" ht="26.25" thickBot="1" thickTop="1">
      <c r="A143" s="38">
        <v>36008</v>
      </c>
      <c r="B143" s="39" t="s">
        <v>11</v>
      </c>
      <c r="C143" s="40" t="s">
        <v>251</v>
      </c>
      <c r="D143" s="40" t="s">
        <v>821</v>
      </c>
      <c r="E143" s="48">
        <v>1</v>
      </c>
      <c r="F143" s="48"/>
      <c r="G143" s="48"/>
      <c r="H143" s="48">
        <v>44761</v>
      </c>
      <c r="I143" s="48">
        <v>26</v>
      </c>
      <c r="J143" s="48">
        <v>0</v>
      </c>
      <c r="K143" s="48">
        <v>6</v>
      </c>
      <c r="L143" s="48">
        <v>3</v>
      </c>
      <c r="M143" s="49">
        <v>2</v>
      </c>
      <c r="N143" s="49">
        <v>2</v>
      </c>
      <c r="O143" s="49"/>
      <c r="P143" s="49"/>
      <c r="Q143" s="49"/>
      <c r="R143" s="49"/>
      <c r="S143" s="49"/>
      <c r="T143" s="49">
        <v>1</v>
      </c>
      <c r="U143" s="49"/>
      <c r="V143" s="41" t="s">
        <v>591</v>
      </c>
      <c r="W143" s="115"/>
      <c r="X143" s="115"/>
      <c r="Y143" s="115"/>
      <c r="Z143" s="115"/>
      <c r="AA143" s="115"/>
      <c r="AB143" s="115"/>
      <c r="AC143" s="113">
        <f t="shared" si="3"/>
        <v>0</v>
      </c>
      <c r="AD143" s="108"/>
    </row>
    <row r="144" spans="1:30" ht="14.25" thickBot="1" thickTop="1">
      <c r="A144" s="38">
        <v>35922</v>
      </c>
      <c r="B144" s="39" t="s">
        <v>129</v>
      </c>
      <c r="C144" s="40" t="s">
        <v>259</v>
      </c>
      <c r="D144" s="40" t="s">
        <v>821</v>
      </c>
      <c r="E144" s="48"/>
      <c r="F144" s="48"/>
      <c r="G144" s="48"/>
      <c r="H144" s="48">
        <v>19442</v>
      </c>
      <c r="I144" s="48">
        <v>12</v>
      </c>
      <c r="J144" s="48">
        <v>0</v>
      </c>
      <c r="K144" s="48">
        <v>4</v>
      </c>
      <c r="L144" s="48"/>
      <c r="M144" s="49"/>
      <c r="N144" s="49"/>
      <c r="O144" s="49"/>
      <c r="P144" s="49"/>
      <c r="Q144" s="49"/>
      <c r="R144" s="49"/>
      <c r="S144" s="49"/>
      <c r="T144" s="49"/>
      <c r="U144" s="49"/>
      <c r="V144" s="41"/>
      <c r="W144" s="115"/>
      <c r="X144" s="115"/>
      <c r="Y144" s="115"/>
      <c r="Z144" s="115"/>
      <c r="AA144" s="115"/>
      <c r="AB144" s="115"/>
      <c r="AC144" s="113">
        <f t="shared" si="3"/>
        <v>0</v>
      </c>
      <c r="AD144" s="108" t="s">
        <v>260</v>
      </c>
    </row>
    <row r="145" spans="1:30" ht="26.25" thickBot="1" thickTop="1">
      <c r="A145" s="38">
        <v>35887</v>
      </c>
      <c r="B145" s="39" t="s">
        <v>129</v>
      </c>
      <c r="C145" s="40" t="s">
        <v>130</v>
      </c>
      <c r="D145" s="40" t="s">
        <v>911</v>
      </c>
      <c r="E145" s="48"/>
      <c r="F145" s="48"/>
      <c r="G145" s="48"/>
      <c r="H145" s="48">
        <v>17289</v>
      </c>
      <c r="I145" s="48">
        <v>859</v>
      </c>
      <c r="J145" s="48">
        <v>859</v>
      </c>
      <c r="K145" s="48">
        <v>154</v>
      </c>
      <c r="L145" s="48"/>
      <c r="M145" s="49">
        <v>154</v>
      </c>
      <c r="N145" s="49"/>
      <c r="O145" s="49"/>
      <c r="P145" s="49"/>
      <c r="Q145" s="49"/>
      <c r="R145" s="49"/>
      <c r="S145" s="49"/>
      <c r="T145" s="49">
        <v>3</v>
      </c>
      <c r="U145" s="49"/>
      <c r="V145" s="41" t="s">
        <v>131</v>
      </c>
      <c r="W145" s="115">
        <v>14063941.2</v>
      </c>
      <c r="X145" s="115"/>
      <c r="Y145" s="115"/>
      <c r="Z145" s="115"/>
      <c r="AA145" s="115"/>
      <c r="AB145" s="115"/>
      <c r="AC145" s="113">
        <f t="shared" si="3"/>
        <v>14063941.2</v>
      </c>
      <c r="AD145" s="108" t="s">
        <v>132</v>
      </c>
    </row>
    <row r="146" spans="1:30" ht="26.25" thickBot="1" thickTop="1">
      <c r="A146" s="38">
        <v>35922</v>
      </c>
      <c r="B146" s="39" t="s">
        <v>129</v>
      </c>
      <c r="C146" s="40" t="s">
        <v>257</v>
      </c>
      <c r="D146" s="40" t="s">
        <v>821</v>
      </c>
      <c r="E146" s="48"/>
      <c r="F146" s="48"/>
      <c r="G146" s="48"/>
      <c r="H146" s="48">
        <v>19365</v>
      </c>
      <c r="I146" s="48">
        <v>250</v>
      </c>
      <c r="J146" s="48">
        <v>0</v>
      </c>
      <c r="K146" s="48">
        <v>50</v>
      </c>
      <c r="L146" s="48"/>
      <c r="M146" s="49"/>
      <c r="N146" s="49"/>
      <c r="O146" s="49"/>
      <c r="P146" s="49"/>
      <c r="Q146" s="49">
        <v>1</v>
      </c>
      <c r="R146" s="49"/>
      <c r="S146" s="49"/>
      <c r="T146" s="49"/>
      <c r="U146" s="49"/>
      <c r="V146" s="41" t="s">
        <v>94</v>
      </c>
      <c r="W146" s="115"/>
      <c r="X146" s="115"/>
      <c r="Y146" s="115"/>
      <c r="Z146" s="115"/>
      <c r="AA146" s="115"/>
      <c r="AB146" s="115"/>
      <c r="AC146" s="113">
        <f t="shared" si="3"/>
        <v>0</v>
      </c>
      <c r="AD146" s="108" t="s">
        <v>258</v>
      </c>
    </row>
    <row r="147" spans="1:31" ht="14.25" thickBot="1" thickTop="1">
      <c r="A147" s="38">
        <v>36097</v>
      </c>
      <c r="B147" s="39" t="s">
        <v>129</v>
      </c>
      <c r="C147" s="40" t="s">
        <v>257</v>
      </c>
      <c r="D147" s="40" t="s">
        <v>911</v>
      </c>
      <c r="E147" s="48"/>
      <c r="F147" s="48"/>
      <c r="G147" s="48"/>
      <c r="H147" s="48">
        <v>19365</v>
      </c>
      <c r="I147" s="48">
        <v>91</v>
      </c>
      <c r="J147" s="48">
        <v>91</v>
      </c>
      <c r="K147" s="48">
        <v>20</v>
      </c>
      <c r="L147" s="48"/>
      <c r="M147" s="49">
        <v>20</v>
      </c>
      <c r="N147" s="49"/>
      <c r="O147" s="49"/>
      <c r="P147" s="49"/>
      <c r="Q147" s="49"/>
      <c r="R147" s="49"/>
      <c r="S147" s="49"/>
      <c r="T147" s="49"/>
      <c r="U147" s="49"/>
      <c r="V147" s="41"/>
      <c r="W147" s="115">
        <v>3995497.8</v>
      </c>
      <c r="X147" s="115">
        <v>460000</v>
      </c>
      <c r="Y147" s="115"/>
      <c r="Z147" s="115"/>
      <c r="AA147" s="115"/>
      <c r="AB147" s="115"/>
      <c r="AC147" s="113">
        <f t="shared" si="3"/>
        <v>4455497.8</v>
      </c>
      <c r="AD147" s="108" t="s">
        <v>625</v>
      </c>
      <c r="AE147" s="4" t="s">
        <v>594</v>
      </c>
    </row>
    <row r="148" spans="1:30" ht="24" thickBot="1" thickTop="1">
      <c r="A148" s="38">
        <v>35969</v>
      </c>
      <c r="B148" s="39" t="s">
        <v>129</v>
      </c>
      <c r="C148" s="40" t="s">
        <v>456</v>
      </c>
      <c r="D148" s="40" t="s">
        <v>821</v>
      </c>
      <c r="E148" s="48"/>
      <c r="F148" s="48"/>
      <c r="G148" s="48"/>
      <c r="H148" s="48">
        <v>69660</v>
      </c>
      <c r="I148" s="48">
        <v>135</v>
      </c>
      <c r="J148" s="48">
        <v>135</v>
      </c>
      <c r="K148" s="48">
        <v>24</v>
      </c>
      <c r="L148" s="48">
        <v>3</v>
      </c>
      <c r="M148" s="49">
        <v>21</v>
      </c>
      <c r="N148" s="49"/>
      <c r="O148" s="49"/>
      <c r="P148" s="49"/>
      <c r="Q148" s="49"/>
      <c r="R148" s="49"/>
      <c r="S148" s="49"/>
      <c r="T148" s="49"/>
      <c r="U148" s="49"/>
      <c r="V148" s="41"/>
      <c r="W148" s="115">
        <v>4533625.6</v>
      </c>
      <c r="X148" s="115"/>
      <c r="Y148" s="115"/>
      <c r="Z148" s="115"/>
      <c r="AA148" s="115"/>
      <c r="AB148" s="115"/>
      <c r="AC148" s="113">
        <f t="shared" si="3"/>
        <v>4533625.6</v>
      </c>
      <c r="AD148" s="108" t="s">
        <v>457</v>
      </c>
    </row>
    <row r="149" spans="1:30" ht="42" thickBot="1" thickTop="1">
      <c r="A149" s="38">
        <v>36080</v>
      </c>
      <c r="B149" s="39" t="s">
        <v>129</v>
      </c>
      <c r="C149" s="40" t="s">
        <v>456</v>
      </c>
      <c r="D149" s="40" t="s">
        <v>911</v>
      </c>
      <c r="E149" s="48"/>
      <c r="F149" s="48"/>
      <c r="G149" s="48"/>
      <c r="H149" s="48">
        <v>69660</v>
      </c>
      <c r="I149" s="48">
        <f>136+52+5</f>
        <v>193</v>
      </c>
      <c r="J149" s="48">
        <v>0</v>
      </c>
      <c r="K149" s="48">
        <f>25+10+1</f>
        <v>36</v>
      </c>
      <c r="L149" s="48">
        <f>3+1+1</f>
        <v>5</v>
      </c>
      <c r="M149" s="49">
        <f>20+9+1</f>
        <v>30</v>
      </c>
      <c r="N149" s="49"/>
      <c r="O149" s="49"/>
      <c r="P149" s="49"/>
      <c r="Q149" s="49"/>
      <c r="R149" s="49"/>
      <c r="S149" s="49"/>
      <c r="T149" s="49">
        <v>1</v>
      </c>
      <c r="U149" s="49"/>
      <c r="V149" s="41"/>
      <c r="W149" s="115"/>
      <c r="X149" s="115"/>
      <c r="Y149" s="115"/>
      <c r="Z149" s="115"/>
      <c r="AA149" s="115"/>
      <c r="AB149" s="115"/>
      <c r="AC149" s="113">
        <f t="shared" si="3"/>
        <v>0</v>
      </c>
      <c r="AD149" s="108" t="s">
        <v>641</v>
      </c>
    </row>
    <row r="150" spans="1:30" ht="14.25" thickBot="1" thickTop="1">
      <c r="A150" s="38">
        <v>35923</v>
      </c>
      <c r="B150" s="39" t="s">
        <v>129</v>
      </c>
      <c r="C150" s="40" t="s">
        <v>261</v>
      </c>
      <c r="D150" s="40" t="s">
        <v>891</v>
      </c>
      <c r="E150" s="48"/>
      <c r="F150" s="48"/>
      <c r="G150" s="48"/>
      <c r="H150" s="48">
        <v>19227</v>
      </c>
      <c r="I150" s="48">
        <v>590</v>
      </c>
      <c r="J150" s="48">
        <v>590</v>
      </c>
      <c r="K150" s="48">
        <v>118</v>
      </c>
      <c r="L150" s="48"/>
      <c r="M150" s="49"/>
      <c r="N150" s="49"/>
      <c r="O150" s="49"/>
      <c r="P150" s="49">
        <v>9</v>
      </c>
      <c r="Q150" s="49"/>
      <c r="R150" s="49"/>
      <c r="S150" s="49"/>
      <c r="T150" s="49"/>
      <c r="U150" s="49"/>
      <c r="V150" s="41" t="s">
        <v>94</v>
      </c>
      <c r="W150" s="115">
        <v>6542400</v>
      </c>
      <c r="X150" s="115">
        <v>2760000</v>
      </c>
      <c r="Y150" s="115"/>
      <c r="Z150" s="115"/>
      <c r="AA150" s="115"/>
      <c r="AB150" s="115"/>
      <c r="AC150" s="113">
        <f t="shared" si="3"/>
        <v>9302400</v>
      </c>
      <c r="AD150" s="108" t="s">
        <v>262</v>
      </c>
    </row>
    <row r="151" spans="1:30" ht="14.25" thickBot="1" thickTop="1">
      <c r="A151" s="38">
        <v>36080</v>
      </c>
      <c r="B151" s="39" t="s">
        <v>129</v>
      </c>
      <c r="C151" s="40" t="s">
        <v>626</v>
      </c>
      <c r="D151" s="40" t="s">
        <v>911</v>
      </c>
      <c r="E151" s="48"/>
      <c r="F151" s="48"/>
      <c r="G151" s="48"/>
      <c r="H151" s="48">
        <v>12115</v>
      </c>
      <c r="I151" s="48">
        <v>30</v>
      </c>
      <c r="J151" s="48">
        <v>0</v>
      </c>
      <c r="K151" s="48">
        <v>6</v>
      </c>
      <c r="L151" s="48"/>
      <c r="M151" s="49">
        <v>6</v>
      </c>
      <c r="N151" s="49"/>
      <c r="O151" s="49"/>
      <c r="P151" s="49"/>
      <c r="Q151" s="49"/>
      <c r="R151" s="49"/>
      <c r="S151" s="49"/>
      <c r="T151" s="49"/>
      <c r="U151" s="49"/>
      <c r="V151" s="41"/>
      <c r="W151" s="115"/>
      <c r="X151" s="115"/>
      <c r="Y151" s="115"/>
      <c r="Z151" s="115"/>
      <c r="AA151" s="115"/>
      <c r="AB151" s="115"/>
      <c r="AC151" s="113">
        <f t="shared" si="3"/>
        <v>0</v>
      </c>
      <c r="AD151" s="108" t="s">
        <v>627</v>
      </c>
    </row>
    <row r="152" spans="1:30" ht="14.25" thickBot="1" thickTop="1">
      <c r="A152" s="38">
        <v>35954</v>
      </c>
      <c r="B152" s="39" t="s">
        <v>13</v>
      </c>
      <c r="C152" s="40" t="s">
        <v>458</v>
      </c>
      <c r="D152" s="40" t="s">
        <v>821</v>
      </c>
      <c r="E152" s="48"/>
      <c r="F152" s="48"/>
      <c r="G152" s="48"/>
      <c r="H152" s="48">
        <v>64147</v>
      </c>
      <c r="I152" s="48">
        <v>1568</v>
      </c>
      <c r="J152" s="48">
        <v>1568</v>
      </c>
      <c r="K152" s="48">
        <v>224</v>
      </c>
      <c r="L152" s="48"/>
      <c r="M152" s="49">
        <v>224</v>
      </c>
      <c r="N152" s="49"/>
      <c r="O152" s="49"/>
      <c r="P152" s="49"/>
      <c r="Q152" s="49"/>
      <c r="R152" s="49"/>
      <c r="S152" s="49"/>
      <c r="T152" s="49"/>
      <c r="U152" s="49"/>
      <c r="V152" s="41" t="s">
        <v>94</v>
      </c>
      <c r="W152" s="115">
        <v>24286788</v>
      </c>
      <c r="X152" s="115"/>
      <c r="Y152" s="115"/>
      <c r="Z152" s="115"/>
      <c r="AA152" s="115"/>
      <c r="AB152" s="115"/>
      <c r="AC152" s="113">
        <f t="shared" si="3"/>
        <v>24286788</v>
      </c>
      <c r="AD152" s="108" t="s">
        <v>459</v>
      </c>
    </row>
    <row r="153" spans="1:30" ht="18" thickBot="1" thickTop="1">
      <c r="A153" s="38">
        <v>36105</v>
      </c>
      <c r="B153" s="39" t="s">
        <v>13</v>
      </c>
      <c r="C153" s="40" t="s">
        <v>458</v>
      </c>
      <c r="D153" s="40" t="s">
        <v>821</v>
      </c>
      <c r="E153" s="48"/>
      <c r="F153" s="48"/>
      <c r="G153" s="48"/>
      <c r="H153" s="48">
        <v>64147</v>
      </c>
      <c r="I153" s="48">
        <v>300</v>
      </c>
      <c r="J153" s="48">
        <v>300</v>
      </c>
      <c r="K153" s="48">
        <v>40</v>
      </c>
      <c r="L153" s="48"/>
      <c r="M153" s="49"/>
      <c r="N153" s="49"/>
      <c r="O153" s="49"/>
      <c r="P153" s="49"/>
      <c r="Q153" s="49"/>
      <c r="R153" s="49"/>
      <c r="S153" s="49"/>
      <c r="T153" s="49"/>
      <c r="U153" s="49"/>
      <c r="V153" s="41"/>
      <c r="W153" s="115">
        <v>1155459.84</v>
      </c>
      <c r="X153" s="115">
        <v>865280</v>
      </c>
      <c r="Y153" s="115"/>
      <c r="Z153" s="115"/>
      <c r="AA153" s="115"/>
      <c r="AB153" s="115"/>
      <c r="AC153" s="113">
        <f t="shared" si="3"/>
        <v>2020739.84</v>
      </c>
      <c r="AD153" s="108" t="s">
        <v>329</v>
      </c>
    </row>
    <row r="154" spans="1:30" ht="14.25" thickBot="1" thickTop="1">
      <c r="A154" s="38">
        <v>36005</v>
      </c>
      <c r="B154" s="39" t="s">
        <v>13</v>
      </c>
      <c r="C154" s="40" t="s">
        <v>514</v>
      </c>
      <c r="D154" s="40" t="s">
        <v>911</v>
      </c>
      <c r="E154" s="48"/>
      <c r="F154" s="48"/>
      <c r="G154" s="48"/>
      <c r="H154" s="48">
        <v>22641</v>
      </c>
      <c r="I154" s="48">
        <v>36</v>
      </c>
      <c r="J154" s="48">
        <v>0</v>
      </c>
      <c r="K154" s="48">
        <v>9</v>
      </c>
      <c r="L154" s="48"/>
      <c r="M154" s="49">
        <v>9</v>
      </c>
      <c r="N154" s="49"/>
      <c r="O154" s="49"/>
      <c r="P154" s="49"/>
      <c r="Q154" s="49"/>
      <c r="R154" s="49"/>
      <c r="S154" s="49"/>
      <c r="T154" s="49"/>
      <c r="U154" s="49"/>
      <c r="V154" s="41"/>
      <c r="W154" s="115"/>
      <c r="X154" s="115"/>
      <c r="Y154" s="115"/>
      <c r="Z154" s="115"/>
      <c r="AA154" s="115"/>
      <c r="AB154" s="115"/>
      <c r="AC154" s="113">
        <f t="shared" si="3"/>
        <v>0</v>
      </c>
      <c r="AD154" s="108" t="s">
        <v>515</v>
      </c>
    </row>
    <row r="155" spans="1:30" ht="34.5" thickBot="1" thickTop="1">
      <c r="A155" s="38">
        <v>36094</v>
      </c>
      <c r="B155" s="39" t="s">
        <v>13</v>
      </c>
      <c r="C155" s="40" t="s">
        <v>514</v>
      </c>
      <c r="D155" s="40" t="s">
        <v>821</v>
      </c>
      <c r="E155" s="48">
        <v>1</v>
      </c>
      <c r="F155" s="48"/>
      <c r="G155" s="48">
        <v>1</v>
      </c>
      <c r="H155" s="48">
        <v>22641</v>
      </c>
      <c r="I155" s="48">
        <v>84</v>
      </c>
      <c r="J155" s="48">
        <v>84</v>
      </c>
      <c r="K155" s="48">
        <v>14</v>
      </c>
      <c r="L155" s="48"/>
      <c r="M155" s="49">
        <v>14</v>
      </c>
      <c r="N155" s="49">
        <v>1</v>
      </c>
      <c r="O155" s="49"/>
      <c r="P155" s="49"/>
      <c r="Q155" s="49"/>
      <c r="R155" s="49"/>
      <c r="S155" s="49"/>
      <c r="T155" s="49"/>
      <c r="U155" s="49"/>
      <c r="V155" s="41" t="s">
        <v>724</v>
      </c>
      <c r="W155" s="115">
        <v>2572729.74</v>
      </c>
      <c r="X155" s="115"/>
      <c r="Y155" s="115"/>
      <c r="Z155" s="115"/>
      <c r="AA155" s="115"/>
      <c r="AB155" s="115"/>
      <c r="AC155" s="113">
        <f t="shared" si="3"/>
        <v>2572729.74</v>
      </c>
      <c r="AD155" s="108" t="s">
        <v>725</v>
      </c>
    </row>
    <row r="156" spans="1:30" ht="14.25" thickBot="1" thickTop="1">
      <c r="A156" s="38">
        <v>36147</v>
      </c>
      <c r="B156" s="39" t="s">
        <v>13</v>
      </c>
      <c r="C156" s="40" t="s">
        <v>382</v>
      </c>
      <c r="D156" s="40" t="s">
        <v>821</v>
      </c>
      <c r="E156" s="48"/>
      <c r="F156" s="48"/>
      <c r="G156" s="48"/>
      <c r="H156" s="48">
        <v>29165</v>
      </c>
      <c r="I156" s="48">
        <v>400</v>
      </c>
      <c r="J156" s="48">
        <v>400</v>
      </c>
      <c r="K156" s="48">
        <v>100</v>
      </c>
      <c r="L156" s="48"/>
      <c r="M156" s="49">
        <v>45</v>
      </c>
      <c r="N156" s="49"/>
      <c r="O156" s="49"/>
      <c r="P156" s="49"/>
      <c r="Q156" s="49"/>
      <c r="R156" s="49"/>
      <c r="S156" s="49"/>
      <c r="T156" s="49"/>
      <c r="U156" s="49"/>
      <c r="V156" s="41" t="s">
        <v>94</v>
      </c>
      <c r="W156" s="115"/>
      <c r="X156" s="115">
        <v>2163200</v>
      </c>
      <c r="Y156" s="115"/>
      <c r="Z156" s="115"/>
      <c r="AA156" s="115"/>
      <c r="AB156" s="115"/>
      <c r="AC156" s="113">
        <f t="shared" si="3"/>
        <v>2163200</v>
      </c>
      <c r="AD156" s="108"/>
    </row>
    <row r="157" spans="1:30" ht="26.25" thickBot="1" thickTop="1">
      <c r="A157" s="38">
        <v>35926</v>
      </c>
      <c r="B157" s="39" t="s">
        <v>13</v>
      </c>
      <c r="C157" s="40" t="s">
        <v>273</v>
      </c>
      <c r="D157" s="40" t="s">
        <v>821</v>
      </c>
      <c r="E157" s="48"/>
      <c r="F157" s="48"/>
      <c r="G157" s="48"/>
      <c r="H157" s="48">
        <v>10362</v>
      </c>
      <c r="I157" s="48">
        <v>300</v>
      </c>
      <c r="J157" s="48">
        <v>300</v>
      </c>
      <c r="K157" s="48">
        <v>92</v>
      </c>
      <c r="L157" s="48"/>
      <c r="M157" s="49"/>
      <c r="N157" s="49"/>
      <c r="O157" s="49"/>
      <c r="P157" s="49"/>
      <c r="Q157" s="49"/>
      <c r="R157" s="49"/>
      <c r="S157" s="49"/>
      <c r="T157" s="49"/>
      <c r="U157" s="49"/>
      <c r="V157" s="41"/>
      <c r="W157" s="115">
        <v>14078484.000000002</v>
      </c>
      <c r="X157" s="115">
        <v>2300000</v>
      </c>
      <c r="Y157" s="115"/>
      <c r="Z157" s="115"/>
      <c r="AA157" s="115"/>
      <c r="AB157" s="115"/>
      <c r="AC157" s="113">
        <f t="shared" si="3"/>
        <v>16378484.000000002</v>
      </c>
      <c r="AD157" s="108" t="s">
        <v>278</v>
      </c>
    </row>
    <row r="158" spans="1:31" ht="14.25" thickBot="1" thickTop="1">
      <c r="A158" s="38">
        <v>36104</v>
      </c>
      <c r="B158" s="39" t="s">
        <v>13</v>
      </c>
      <c r="C158" s="40" t="s">
        <v>273</v>
      </c>
      <c r="D158" s="40" t="s">
        <v>821</v>
      </c>
      <c r="E158" s="48"/>
      <c r="F158" s="48"/>
      <c r="G158" s="48"/>
      <c r="H158" s="48">
        <v>10362</v>
      </c>
      <c r="I158" s="48">
        <f>76*5</f>
        <v>380</v>
      </c>
      <c r="J158" s="48">
        <f>76*5</f>
        <v>380</v>
      </c>
      <c r="K158" s="48">
        <v>76</v>
      </c>
      <c r="L158" s="48"/>
      <c r="M158" s="49"/>
      <c r="N158" s="49"/>
      <c r="O158" s="49"/>
      <c r="P158" s="49"/>
      <c r="Q158" s="49"/>
      <c r="R158" s="49"/>
      <c r="S158" s="49"/>
      <c r="T158" s="49"/>
      <c r="U158" s="49"/>
      <c r="V158" s="41"/>
      <c r="W158" s="115">
        <v>8243598</v>
      </c>
      <c r="X158" s="115">
        <v>1579136</v>
      </c>
      <c r="Y158" s="115"/>
      <c r="Z158" s="115"/>
      <c r="AA158" s="115"/>
      <c r="AB158" s="115"/>
      <c r="AC158" s="113">
        <f t="shared" si="3"/>
        <v>9822734</v>
      </c>
      <c r="AD158" s="108"/>
      <c r="AE158" s="4" t="s">
        <v>594</v>
      </c>
    </row>
    <row r="159" spans="1:30" ht="14.25" thickBot="1" thickTop="1">
      <c r="A159" s="38">
        <v>35922</v>
      </c>
      <c r="B159" s="39" t="s">
        <v>13</v>
      </c>
      <c r="C159" s="40" t="s">
        <v>268</v>
      </c>
      <c r="D159" s="40" t="s">
        <v>821</v>
      </c>
      <c r="E159" s="48"/>
      <c r="F159" s="48"/>
      <c r="G159" s="48"/>
      <c r="H159" s="48">
        <v>15491</v>
      </c>
      <c r="I159" s="48">
        <v>375</v>
      </c>
      <c r="J159" s="48">
        <v>0</v>
      </c>
      <c r="K159" s="48">
        <v>75</v>
      </c>
      <c r="L159" s="48"/>
      <c r="M159" s="49"/>
      <c r="N159" s="49"/>
      <c r="O159" s="49"/>
      <c r="P159" s="49"/>
      <c r="Q159" s="49"/>
      <c r="R159" s="49"/>
      <c r="S159" s="49"/>
      <c r="T159" s="49"/>
      <c r="U159" s="49"/>
      <c r="V159" s="41"/>
      <c r="W159" s="115"/>
      <c r="X159" s="115"/>
      <c r="Y159" s="115"/>
      <c r="Z159" s="115"/>
      <c r="AA159" s="115"/>
      <c r="AB159" s="115"/>
      <c r="AC159" s="113">
        <f t="shared" si="3"/>
        <v>0</v>
      </c>
      <c r="AD159" s="108" t="s">
        <v>269</v>
      </c>
    </row>
    <row r="160" spans="1:30" ht="14.25" thickBot="1" thickTop="1">
      <c r="A160" s="38">
        <v>36005</v>
      </c>
      <c r="B160" s="39" t="s">
        <v>13</v>
      </c>
      <c r="C160" s="40" t="s">
        <v>268</v>
      </c>
      <c r="D160" s="40" t="s">
        <v>879</v>
      </c>
      <c r="E160" s="48"/>
      <c r="F160" s="48"/>
      <c r="G160" s="48"/>
      <c r="H160" s="48">
        <v>15491</v>
      </c>
      <c r="I160" s="48">
        <v>8</v>
      </c>
      <c r="J160" s="48">
        <v>0</v>
      </c>
      <c r="K160" s="48">
        <v>1</v>
      </c>
      <c r="L160" s="48">
        <v>1</v>
      </c>
      <c r="M160" s="49"/>
      <c r="N160" s="49"/>
      <c r="O160" s="49"/>
      <c r="P160" s="49"/>
      <c r="Q160" s="49"/>
      <c r="R160" s="49"/>
      <c r="S160" s="49"/>
      <c r="T160" s="49"/>
      <c r="U160" s="49"/>
      <c r="V160" s="41"/>
      <c r="W160" s="115"/>
      <c r="X160" s="115"/>
      <c r="Y160" s="115"/>
      <c r="Z160" s="115"/>
      <c r="AA160" s="115"/>
      <c r="AB160" s="115"/>
      <c r="AC160" s="113">
        <f t="shared" si="3"/>
        <v>0</v>
      </c>
      <c r="AD160" s="108" t="s">
        <v>516</v>
      </c>
    </row>
    <row r="161" spans="1:30" ht="18" thickBot="1" thickTop="1">
      <c r="A161" s="38">
        <v>36118</v>
      </c>
      <c r="B161" s="39" t="s">
        <v>13</v>
      </c>
      <c r="C161" s="40" t="s">
        <v>268</v>
      </c>
      <c r="D161" s="40" t="s">
        <v>821</v>
      </c>
      <c r="E161" s="48"/>
      <c r="F161" s="48"/>
      <c r="G161" s="48"/>
      <c r="H161" s="48">
        <v>15491</v>
      </c>
      <c r="I161" s="48">
        <f>192*5</f>
        <v>960</v>
      </c>
      <c r="J161" s="48">
        <f>192*5</f>
        <v>960</v>
      </c>
      <c r="K161" s="48">
        <v>192</v>
      </c>
      <c r="L161" s="48"/>
      <c r="M161" s="49"/>
      <c r="N161" s="49"/>
      <c r="O161" s="49"/>
      <c r="P161" s="49"/>
      <c r="Q161" s="49"/>
      <c r="R161" s="49"/>
      <c r="S161" s="49"/>
      <c r="T161" s="49"/>
      <c r="U161" s="49"/>
      <c r="V161" s="41"/>
      <c r="W161" s="115"/>
      <c r="X161" s="115">
        <v>4153344</v>
      </c>
      <c r="Y161" s="115">
        <v>13687999.999999998</v>
      </c>
      <c r="Z161" s="115"/>
      <c r="AA161" s="115"/>
      <c r="AB161" s="115">
        <v>10000000</v>
      </c>
      <c r="AC161" s="113">
        <f t="shared" si="3"/>
        <v>27841344</v>
      </c>
      <c r="AD161" s="108" t="s">
        <v>438</v>
      </c>
    </row>
    <row r="162" spans="1:30" ht="24" thickBot="1" thickTop="1">
      <c r="A162" s="38">
        <v>36025</v>
      </c>
      <c r="B162" s="39" t="s">
        <v>13</v>
      </c>
      <c r="C162" s="40" t="s">
        <v>634</v>
      </c>
      <c r="D162" s="40" t="s">
        <v>911</v>
      </c>
      <c r="E162" s="48"/>
      <c r="F162" s="48"/>
      <c r="G162" s="48"/>
      <c r="H162" s="48">
        <v>22043</v>
      </c>
      <c r="I162" s="48">
        <v>588</v>
      </c>
      <c r="J162" s="48">
        <v>588</v>
      </c>
      <c r="K162" s="48">
        <v>98</v>
      </c>
      <c r="L162" s="48"/>
      <c r="M162" s="49">
        <v>98</v>
      </c>
      <c r="N162" s="49"/>
      <c r="O162" s="49"/>
      <c r="P162" s="49"/>
      <c r="Q162" s="49"/>
      <c r="R162" s="49"/>
      <c r="S162" s="49"/>
      <c r="T162" s="49"/>
      <c r="U162" s="49"/>
      <c r="V162" s="41"/>
      <c r="W162" s="115"/>
      <c r="X162" s="115"/>
      <c r="Y162" s="115">
        <v>16425599.999999998</v>
      </c>
      <c r="Z162" s="115"/>
      <c r="AA162" s="115"/>
      <c r="AB162" s="115"/>
      <c r="AC162" s="113">
        <f t="shared" si="3"/>
        <v>16425599.999999998</v>
      </c>
      <c r="AD162" s="108" t="s">
        <v>635</v>
      </c>
    </row>
    <row r="163" spans="1:30" ht="14.25" thickBot="1" thickTop="1">
      <c r="A163" s="38">
        <v>35864</v>
      </c>
      <c r="B163" s="39" t="s">
        <v>13</v>
      </c>
      <c r="C163" s="40" t="s">
        <v>65</v>
      </c>
      <c r="D163" s="40" t="s">
        <v>911</v>
      </c>
      <c r="E163" s="48"/>
      <c r="F163" s="48"/>
      <c r="G163" s="48"/>
      <c r="H163" s="48">
        <v>13184</v>
      </c>
      <c r="I163" s="48">
        <v>477</v>
      </c>
      <c r="J163" s="48">
        <v>477</v>
      </c>
      <c r="K163" s="48">
        <v>74</v>
      </c>
      <c r="L163" s="48"/>
      <c r="M163" s="49">
        <v>74</v>
      </c>
      <c r="N163" s="49"/>
      <c r="O163" s="49"/>
      <c r="P163" s="49"/>
      <c r="Q163" s="49"/>
      <c r="R163" s="49"/>
      <c r="S163" s="49"/>
      <c r="T163" s="49">
        <v>2</v>
      </c>
      <c r="U163" s="49"/>
      <c r="V163" s="41"/>
      <c r="W163" s="115"/>
      <c r="X163" s="115"/>
      <c r="Y163" s="115">
        <v>4130064</v>
      </c>
      <c r="Z163" s="115"/>
      <c r="AA163" s="115"/>
      <c r="AB163" s="115">
        <v>4000000</v>
      </c>
      <c r="AC163" s="113">
        <f t="shared" si="3"/>
        <v>8130064</v>
      </c>
      <c r="AD163" s="108" t="s">
        <v>66</v>
      </c>
    </row>
    <row r="164" spans="1:30" ht="34.5" thickBot="1" thickTop="1">
      <c r="A164" s="38">
        <v>36044</v>
      </c>
      <c r="B164" s="39" t="s">
        <v>13</v>
      </c>
      <c r="C164" s="40" t="s">
        <v>767</v>
      </c>
      <c r="D164" s="40" t="s">
        <v>891</v>
      </c>
      <c r="E164" s="48"/>
      <c r="F164" s="48"/>
      <c r="G164" s="48"/>
      <c r="H164" s="48"/>
      <c r="I164" s="48"/>
      <c r="J164" s="48"/>
      <c r="K164" s="48"/>
      <c r="L164" s="48"/>
      <c r="M164" s="49"/>
      <c r="N164" s="49">
        <v>5</v>
      </c>
      <c r="O164" s="49">
        <v>3</v>
      </c>
      <c r="P164" s="49"/>
      <c r="Q164" s="49"/>
      <c r="R164" s="49"/>
      <c r="S164" s="49"/>
      <c r="T164" s="49"/>
      <c r="U164" s="49"/>
      <c r="V164" s="41" t="s">
        <v>768</v>
      </c>
      <c r="W164" s="115"/>
      <c r="X164" s="115"/>
      <c r="Y164" s="115"/>
      <c r="Z164" s="115"/>
      <c r="AA164" s="115"/>
      <c r="AB164" s="115">
        <v>5000000</v>
      </c>
      <c r="AC164" s="113">
        <f t="shared" si="3"/>
        <v>5000000</v>
      </c>
      <c r="AD164" s="108" t="s">
        <v>772</v>
      </c>
    </row>
    <row r="165" spans="1:30" ht="14.25" thickBot="1" thickTop="1">
      <c r="A165" s="38">
        <v>35852</v>
      </c>
      <c r="B165" s="39" t="s">
        <v>13</v>
      </c>
      <c r="C165" s="40" t="s">
        <v>14</v>
      </c>
      <c r="D165" s="40" t="s">
        <v>884</v>
      </c>
      <c r="E165" s="48"/>
      <c r="F165" s="48"/>
      <c r="G165" s="48"/>
      <c r="H165" s="48">
        <v>13917</v>
      </c>
      <c r="I165" s="48"/>
      <c r="J165" s="48"/>
      <c r="K165" s="48"/>
      <c r="L165" s="48"/>
      <c r="M165" s="49"/>
      <c r="N165" s="49"/>
      <c r="O165" s="49"/>
      <c r="P165" s="49"/>
      <c r="Q165" s="49"/>
      <c r="R165" s="49"/>
      <c r="S165" s="49"/>
      <c r="T165" s="49"/>
      <c r="U165" s="49"/>
      <c r="V165" s="41"/>
      <c r="W165" s="115"/>
      <c r="X165" s="115"/>
      <c r="Y165" s="115"/>
      <c r="Z165" s="115"/>
      <c r="AA165" s="115">
        <v>19163509</v>
      </c>
      <c r="AB165" s="115"/>
      <c r="AC165" s="113">
        <f t="shared" si="3"/>
        <v>19163509</v>
      </c>
      <c r="AD165" s="108" t="s">
        <v>15</v>
      </c>
    </row>
    <row r="166" spans="1:30" ht="42.75" thickBot="1" thickTop="1">
      <c r="A166" s="38">
        <v>35934</v>
      </c>
      <c r="B166" s="39" t="s">
        <v>13</v>
      </c>
      <c r="C166" s="40" t="s">
        <v>270</v>
      </c>
      <c r="D166" s="40" t="s">
        <v>821</v>
      </c>
      <c r="E166" s="48"/>
      <c r="F166" s="48"/>
      <c r="G166" s="48"/>
      <c r="H166" s="48">
        <v>14392</v>
      </c>
      <c r="I166" s="48">
        <v>340</v>
      </c>
      <c r="J166" s="48">
        <v>340</v>
      </c>
      <c r="K166" s="48">
        <v>80</v>
      </c>
      <c r="L166" s="48"/>
      <c r="M166" s="49">
        <v>80</v>
      </c>
      <c r="N166" s="49">
        <v>1</v>
      </c>
      <c r="O166" s="49"/>
      <c r="P166" s="49"/>
      <c r="Q166" s="49"/>
      <c r="R166" s="49"/>
      <c r="S166" s="49"/>
      <c r="T166" s="49"/>
      <c r="U166" s="49"/>
      <c r="V166" s="41" t="s">
        <v>271</v>
      </c>
      <c r="W166" s="115">
        <v>12242160</v>
      </c>
      <c r="X166" s="115">
        <v>1840000</v>
      </c>
      <c r="Y166" s="115"/>
      <c r="Z166" s="115"/>
      <c r="AA166" s="115"/>
      <c r="AB166" s="115"/>
      <c r="AC166" s="113">
        <f t="shared" si="3"/>
        <v>14082160</v>
      </c>
      <c r="AD166" s="108" t="s">
        <v>272</v>
      </c>
    </row>
    <row r="167" spans="1:30" ht="26.25" thickBot="1" thickTop="1">
      <c r="A167" s="38">
        <v>35886</v>
      </c>
      <c r="B167" s="39" t="s">
        <v>13</v>
      </c>
      <c r="C167" s="40" t="s">
        <v>135</v>
      </c>
      <c r="D167" s="40" t="s">
        <v>911</v>
      </c>
      <c r="E167" s="48"/>
      <c r="F167" s="48"/>
      <c r="G167" s="48"/>
      <c r="H167" s="48">
        <v>13134</v>
      </c>
      <c r="I167" s="48">
        <v>1500</v>
      </c>
      <c r="J167" s="48">
        <v>1500</v>
      </c>
      <c r="K167" s="48">
        <v>250</v>
      </c>
      <c r="L167" s="48"/>
      <c r="M167" s="49">
        <v>250</v>
      </c>
      <c r="N167" s="49"/>
      <c r="O167" s="49"/>
      <c r="P167" s="49"/>
      <c r="Q167" s="49"/>
      <c r="R167" s="49"/>
      <c r="S167" s="49"/>
      <c r="T167" s="49">
        <v>6</v>
      </c>
      <c r="U167" s="49"/>
      <c r="V167" s="41" t="s">
        <v>136</v>
      </c>
      <c r="W167" s="115">
        <v>4111700</v>
      </c>
      <c r="X167" s="115">
        <v>2300000</v>
      </c>
      <c r="Y167" s="115"/>
      <c r="Z167" s="115"/>
      <c r="AA167" s="115"/>
      <c r="AB167" s="115"/>
      <c r="AC167" s="113">
        <f t="shared" si="3"/>
        <v>6411700</v>
      </c>
      <c r="AD167" s="108" t="s">
        <v>137</v>
      </c>
    </row>
    <row r="168" spans="1:30" ht="14.25" thickBot="1" thickTop="1">
      <c r="A168" s="38">
        <v>35922</v>
      </c>
      <c r="B168" s="39" t="s">
        <v>13</v>
      </c>
      <c r="C168" s="40" t="s">
        <v>135</v>
      </c>
      <c r="D168" s="40" t="s">
        <v>821</v>
      </c>
      <c r="E168" s="48"/>
      <c r="F168" s="48"/>
      <c r="G168" s="48"/>
      <c r="H168" s="48">
        <v>13134</v>
      </c>
      <c r="I168" s="48">
        <v>750</v>
      </c>
      <c r="J168" s="48">
        <v>750</v>
      </c>
      <c r="K168" s="48">
        <v>150</v>
      </c>
      <c r="L168" s="48"/>
      <c r="M168" s="49"/>
      <c r="N168" s="49"/>
      <c r="O168" s="49"/>
      <c r="P168" s="49"/>
      <c r="Q168" s="49"/>
      <c r="R168" s="49"/>
      <c r="S168" s="49"/>
      <c r="T168" s="49"/>
      <c r="U168" s="49"/>
      <c r="V168" s="41"/>
      <c r="W168" s="115">
        <v>4065300</v>
      </c>
      <c r="X168" s="115">
        <v>2300000</v>
      </c>
      <c r="Y168" s="115"/>
      <c r="Z168" s="115"/>
      <c r="AA168" s="115"/>
      <c r="AB168" s="115"/>
      <c r="AC168" s="113">
        <f t="shared" si="3"/>
        <v>6365300</v>
      </c>
      <c r="AD168" s="108" t="s">
        <v>267</v>
      </c>
    </row>
    <row r="169" spans="1:31" ht="14.25" thickBot="1" thickTop="1">
      <c r="A169" s="38">
        <v>36110</v>
      </c>
      <c r="B169" s="39" t="s">
        <v>13</v>
      </c>
      <c r="C169" s="40" t="s">
        <v>135</v>
      </c>
      <c r="D169" s="40" t="s">
        <v>821</v>
      </c>
      <c r="E169" s="48"/>
      <c r="F169" s="48"/>
      <c r="G169" s="48"/>
      <c r="H169" s="48">
        <v>13134</v>
      </c>
      <c r="I169" s="48">
        <f>328*5</f>
        <v>1640</v>
      </c>
      <c r="J169" s="48">
        <f>328*5</f>
        <v>1640</v>
      </c>
      <c r="K169" s="48">
        <v>328</v>
      </c>
      <c r="L169" s="48"/>
      <c r="M169" s="49"/>
      <c r="N169" s="49"/>
      <c r="O169" s="49"/>
      <c r="P169" s="49"/>
      <c r="Q169" s="49"/>
      <c r="R169" s="49"/>
      <c r="S169" s="49"/>
      <c r="T169" s="49"/>
      <c r="U169" s="49"/>
      <c r="V169" s="41"/>
      <c r="W169" s="115"/>
      <c r="X169" s="115">
        <v>7544000</v>
      </c>
      <c r="Y169" s="115">
        <v>13687999.999999998</v>
      </c>
      <c r="Z169" s="115">
        <v>5730400</v>
      </c>
      <c r="AA169" s="115"/>
      <c r="AB169" s="115"/>
      <c r="AC169" s="113">
        <f t="shared" si="3"/>
        <v>26962400</v>
      </c>
      <c r="AD169" s="108" t="s">
        <v>914</v>
      </c>
      <c r="AE169" s="4" t="s">
        <v>594</v>
      </c>
    </row>
    <row r="170" spans="1:30" ht="26.25" thickBot="1" thickTop="1">
      <c r="A170" s="38">
        <v>36045</v>
      </c>
      <c r="B170" s="39" t="s">
        <v>13</v>
      </c>
      <c r="C170" s="40" t="s">
        <v>656</v>
      </c>
      <c r="D170" s="40" t="s">
        <v>911</v>
      </c>
      <c r="E170" s="48"/>
      <c r="F170" s="48"/>
      <c r="G170" s="48"/>
      <c r="H170" s="48">
        <v>248525</v>
      </c>
      <c r="I170" s="48"/>
      <c r="J170" s="48"/>
      <c r="K170" s="48"/>
      <c r="L170" s="48"/>
      <c r="M170" s="49"/>
      <c r="N170" s="49"/>
      <c r="O170" s="49"/>
      <c r="P170" s="49"/>
      <c r="Q170" s="49"/>
      <c r="R170" s="49"/>
      <c r="S170" s="49"/>
      <c r="T170" s="49"/>
      <c r="U170" s="49"/>
      <c r="V170" s="41"/>
      <c r="W170" s="115"/>
      <c r="X170" s="115">
        <v>2300000</v>
      </c>
      <c r="Y170" s="115">
        <v>1368800</v>
      </c>
      <c r="Z170" s="115"/>
      <c r="AA170" s="115"/>
      <c r="AB170" s="115">
        <v>15000000</v>
      </c>
      <c r="AC170" s="113">
        <f t="shared" si="3"/>
        <v>18668800</v>
      </c>
      <c r="AD170" s="108" t="s">
        <v>657</v>
      </c>
    </row>
    <row r="171" spans="1:30" ht="14.25" thickBot="1" thickTop="1">
      <c r="A171" s="38">
        <v>35954</v>
      </c>
      <c r="B171" s="39" t="s">
        <v>13</v>
      </c>
      <c r="C171" s="40" t="s">
        <v>875</v>
      </c>
      <c r="D171" s="40" t="s">
        <v>884</v>
      </c>
      <c r="E171" s="48"/>
      <c r="F171" s="48"/>
      <c r="G171" s="48"/>
      <c r="H171" s="48"/>
      <c r="I171" s="48"/>
      <c r="J171" s="48"/>
      <c r="K171" s="48"/>
      <c r="L171" s="48"/>
      <c r="M171" s="49"/>
      <c r="N171" s="49"/>
      <c r="O171" s="49"/>
      <c r="P171" s="49"/>
      <c r="Q171" s="49"/>
      <c r="R171" s="49"/>
      <c r="S171" s="49"/>
      <c r="T171" s="49"/>
      <c r="U171" s="49"/>
      <c r="V171" s="41"/>
      <c r="W171" s="115"/>
      <c r="X171" s="115">
        <v>23000000</v>
      </c>
      <c r="Y171" s="115"/>
      <c r="Z171" s="115"/>
      <c r="AA171" s="115"/>
      <c r="AB171" s="115"/>
      <c r="AC171" s="113">
        <f t="shared" si="3"/>
        <v>23000000</v>
      </c>
      <c r="AD171" s="108"/>
    </row>
    <row r="172" spans="1:30" ht="24" thickBot="1" thickTop="1">
      <c r="A172" s="38">
        <v>36075</v>
      </c>
      <c r="B172" s="39" t="s">
        <v>22</v>
      </c>
      <c r="C172" s="40" t="s">
        <v>778</v>
      </c>
      <c r="D172" s="40" t="s">
        <v>821</v>
      </c>
      <c r="E172" s="48"/>
      <c r="F172" s="48"/>
      <c r="G172" s="48"/>
      <c r="H172" s="48">
        <v>17394</v>
      </c>
      <c r="I172" s="48">
        <v>3176</v>
      </c>
      <c r="J172" s="48">
        <v>3176</v>
      </c>
      <c r="K172" s="48">
        <v>794</v>
      </c>
      <c r="L172" s="48">
        <v>20</v>
      </c>
      <c r="M172" s="49">
        <v>10</v>
      </c>
      <c r="N172" s="49"/>
      <c r="O172" s="49"/>
      <c r="P172" s="49"/>
      <c r="Q172" s="49"/>
      <c r="R172" s="49"/>
      <c r="S172" s="49"/>
      <c r="T172" s="49"/>
      <c r="U172" s="49"/>
      <c r="V172" s="41"/>
      <c r="W172" s="115">
        <v>55885672.470000006</v>
      </c>
      <c r="X172" s="115">
        <v>8924000</v>
      </c>
      <c r="Y172" s="115"/>
      <c r="Z172" s="115"/>
      <c r="AA172" s="115"/>
      <c r="AB172" s="115"/>
      <c r="AC172" s="113">
        <f t="shared" si="3"/>
        <v>64809672.470000006</v>
      </c>
      <c r="AD172" s="108" t="s">
        <v>470</v>
      </c>
    </row>
    <row r="173" spans="1:30" ht="18" thickBot="1" thickTop="1">
      <c r="A173" s="38">
        <v>35915</v>
      </c>
      <c r="B173" s="39" t="s">
        <v>22</v>
      </c>
      <c r="C173" s="40" t="s">
        <v>150</v>
      </c>
      <c r="D173" s="40" t="s">
        <v>911</v>
      </c>
      <c r="E173" s="48"/>
      <c r="F173" s="48"/>
      <c r="G173" s="48"/>
      <c r="H173" s="48">
        <v>13596</v>
      </c>
      <c r="I173" s="48">
        <v>300</v>
      </c>
      <c r="J173" s="48">
        <v>0</v>
      </c>
      <c r="K173" s="48">
        <v>60</v>
      </c>
      <c r="L173" s="48"/>
      <c r="M173" s="49">
        <v>30</v>
      </c>
      <c r="N173" s="49"/>
      <c r="O173" s="49"/>
      <c r="P173" s="49"/>
      <c r="Q173" s="49"/>
      <c r="R173" s="49"/>
      <c r="S173" s="49"/>
      <c r="T173" s="49"/>
      <c r="U173" s="49"/>
      <c r="V173" s="41" t="s">
        <v>151</v>
      </c>
      <c r="W173" s="115"/>
      <c r="X173" s="115"/>
      <c r="Y173" s="115"/>
      <c r="Z173" s="115"/>
      <c r="AA173" s="115"/>
      <c r="AB173" s="115"/>
      <c r="AC173" s="113">
        <f t="shared" si="3"/>
        <v>0</v>
      </c>
      <c r="AD173" s="108"/>
    </row>
    <row r="174" spans="1:30" ht="59.25" thickBot="1" thickTop="1">
      <c r="A174" s="38">
        <v>36092</v>
      </c>
      <c r="B174" s="39" t="s">
        <v>22</v>
      </c>
      <c r="C174" s="40" t="s">
        <v>24</v>
      </c>
      <c r="D174" s="40" t="s">
        <v>821</v>
      </c>
      <c r="E174" s="48"/>
      <c r="F174" s="48"/>
      <c r="G174" s="48"/>
      <c r="H174" s="48">
        <v>7505</v>
      </c>
      <c r="I174" s="48">
        <f>186*5</f>
        <v>930</v>
      </c>
      <c r="J174" s="48">
        <f>186*5</f>
        <v>930</v>
      </c>
      <c r="K174" s="48">
        <v>186</v>
      </c>
      <c r="L174" s="48"/>
      <c r="M174" s="49"/>
      <c r="N174" s="49"/>
      <c r="O174" s="49"/>
      <c r="P174" s="49"/>
      <c r="Q174" s="49"/>
      <c r="R174" s="49"/>
      <c r="S174" s="49"/>
      <c r="T174" s="49"/>
      <c r="U174" s="49"/>
      <c r="V174" s="41"/>
      <c r="W174" s="115">
        <v>26995353.180000003</v>
      </c>
      <c r="X174" s="115">
        <v>4623000</v>
      </c>
      <c r="Y174" s="115"/>
      <c r="Z174" s="115"/>
      <c r="AA174" s="115">
        <v>5500000</v>
      </c>
      <c r="AB174" s="115">
        <f>7000000+2000000</f>
        <v>9000000</v>
      </c>
      <c r="AC174" s="113">
        <f t="shared" si="3"/>
        <v>46118353.18000001</v>
      </c>
      <c r="AD174" s="108" t="s">
        <v>404</v>
      </c>
    </row>
    <row r="175" spans="1:30" ht="26.25" thickBot="1" thickTop="1">
      <c r="A175" s="38">
        <v>36075</v>
      </c>
      <c r="B175" s="39" t="s">
        <v>22</v>
      </c>
      <c r="C175" s="40" t="s">
        <v>775</v>
      </c>
      <c r="D175" s="40" t="s">
        <v>821</v>
      </c>
      <c r="E175" s="48"/>
      <c r="F175" s="48"/>
      <c r="G175" s="48"/>
      <c r="H175" s="48">
        <v>20862</v>
      </c>
      <c r="I175" s="48">
        <v>2556</v>
      </c>
      <c r="J175" s="48">
        <v>2556</v>
      </c>
      <c r="K175" s="48">
        <v>639</v>
      </c>
      <c r="L175" s="48">
        <v>10</v>
      </c>
      <c r="M175" s="49"/>
      <c r="N175" s="49"/>
      <c r="O175" s="49"/>
      <c r="P175" s="49"/>
      <c r="Q175" s="49"/>
      <c r="R175" s="49"/>
      <c r="S175" s="49"/>
      <c r="T175" s="49"/>
      <c r="U175" s="49"/>
      <c r="V175" s="41" t="s">
        <v>208</v>
      </c>
      <c r="W175" s="115">
        <v>44966741.039999984</v>
      </c>
      <c r="X175" s="115">
        <v>7176000</v>
      </c>
      <c r="Y175" s="115"/>
      <c r="Z175" s="115"/>
      <c r="AA175" s="115"/>
      <c r="AB175" s="115"/>
      <c r="AC175" s="113">
        <f t="shared" si="3"/>
        <v>52142741.039999984</v>
      </c>
      <c r="AD175" s="108" t="s">
        <v>757</v>
      </c>
    </row>
    <row r="176" spans="1:30" ht="14.25" thickBot="1" thickTop="1">
      <c r="A176" s="38">
        <v>35849</v>
      </c>
      <c r="B176" s="39" t="s">
        <v>22</v>
      </c>
      <c r="C176" s="40" t="s">
        <v>23</v>
      </c>
      <c r="D176" s="40" t="s">
        <v>821</v>
      </c>
      <c r="E176" s="48"/>
      <c r="F176" s="48"/>
      <c r="G176" s="48"/>
      <c r="H176" s="48">
        <v>9173</v>
      </c>
      <c r="I176" s="48"/>
      <c r="J176" s="48"/>
      <c r="K176" s="48"/>
      <c r="L176" s="48"/>
      <c r="M176" s="49"/>
      <c r="N176" s="49"/>
      <c r="O176" s="49"/>
      <c r="P176" s="49"/>
      <c r="Q176" s="49"/>
      <c r="R176" s="49"/>
      <c r="S176" s="49"/>
      <c r="T176" s="49"/>
      <c r="U176" s="49"/>
      <c r="V176" s="41"/>
      <c r="W176" s="115"/>
      <c r="X176" s="115">
        <v>9200000</v>
      </c>
      <c r="Y176" s="115"/>
      <c r="Z176" s="115"/>
      <c r="AA176" s="115"/>
      <c r="AB176" s="115"/>
      <c r="AC176" s="113">
        <f t="shared" si="3"/>
        <v>9200000</v>
      </c>
      <c r="AD176" s="108"/>
    </row>
    <row r="177" spans="1:30" ht="26.25" thickBot="1" thickTop="1">
      <c r="A177" s="38">
        <v>36092</v>
      </c>
      <c r="B177" s="39" t="s">
        <v>22</v>
      </c>
      <c r="C177" s="40" t="s">
        <v>23</v>
      </c>
      <c r="D177" s="40" t="s">
        <v>821</v>
      </c>
      <c r="E177" s="48"/>
      <c r="F177" s="48"/>
      <c r="G177" s="48"/>
      <c r="H177" s="48">
        <v>9173</v>
      </c>
      <c r="I177" s="48">
        <v>1780</v>
      </c>
      <c r="J177" s="48">
        <v>1780</v>
      </c>
      <c r="K177" s="48">
        <v>363</v>
      </c>
      <c r="L177" s="48"/>
      <c r="M177" s="49">
        <v>35</v>
      </c>
      <c r="N177" s="49"/>
      <c r="O177" s="49"/>
      <c r="P177" s="49"/>
      <c r="Q177" s="49"/>
      <c r="R177" s="49"/>
      <c r="S177" s="49"/>
      <c r="T177" s="49"/>
      <c r="U177" s="49"/>
      <c r="V177" s="41"/>
      <c r="W177" s="115">
        <v>46945566.69</v>
      </c>
      <c r="X177" s="115">
        <v>8349000</v>
      </c>
      <c r="Y177" s="115"/>
      <c r="Z177" s="115"/>
      <c r="AA177" s="115"/>
      <c r="AB177" s="115"/>
      <c r="AC177" s="113">
        <f t="shared" si="3"/>
        <v>55294566.69</v>
      </c>
      <c r="AD177" s="108" t="s">
        <v>744</v>
      </c>
    </row>
    <row r="178" spans="1:30" ht="24" thickBot="1" thickTop="1">
      <c r="A178" s="38">
        <v>35827</v>
      </c>
      <c r="B178" s="39" t="s">
        <v>22</v>
      </c>
      <c r="C178" s="40" t="s">
        <v>33</v>
      </c>
      <c r="D178" s="40" t="s">
        <v>891</v>
      </c>
      <c r="E178" s="48"/>
      <c r="F178" s="48"/>
      <c r="G178" s="48"/>
      <c r="H178" s="48"/>
      <c r="I178" s="48">
        <v>30</v>
      </c>
      <c r="J178" s="48">
        <v>0</v>
      </c>
      <c r="K178" s="48">
        <v>6</v>
      </c>
      <c r="L178" s="48">
        <v>6</v>
      </c>
      <c r="M178" s="49"/>
      <c r="N178" s="49">
        <v>1</v>
      </c>
      <c r="O178" s="49"/>
      <c r="P178" s="49"/>
      <c r="Q178" s="49"/>
      <c r="R178" s="49"/>
      <c r="S178" s="49"/>
      <c r="T178" s="49"/>
      <c r="U178" s="49"/>
      <c r="V178" s="41"/>
      <c r="W178" s="115"/>
      <c r="X178" s="115"/>
      <c r="Y178" s="115"/>
      <c r="Z178" s="115"/>
      <c r="AA178" s="115"/>
      <c r="AB178" s="115"/>
      <c r="AC178" s="113">
        <f t="shared" si="3"/>
        <v>0</v>
      </c>
      <c r="AD178" s="108"/>
    </row>
    <row r="179" spans="1:30" ht="34.5" thickBot="1" thickTop="1">
      <c r="A179" s="38">
        <v>36125</v>
      </c>
      <c r="B179" s="39" t="s">
        <v>22</v>
      </c>
      <c r="C179" s="40" t="s">
        <v>335</v>
      </c>
      <c r="D179" s="40" t="s">
        <v>887</v>
      </c>
      <c r="E179" s="48"/>
      <c r="F179" s="48"/>
      <c r="G179" s="48"/>
      <c r="H179" s="48"/>
      <c r="I179" s="48"/>
      <c r="J179" s="48"/>
      <c r="K179" s="48"/>
      <c r="L179" s="48"/>
      <c r="M179" s="49"/>
      <c r="N179" s="49"/>
      <c r="O179" s="49"/>
      <c r="P179" s="49">
        <v>1</v>
      </c>
      <c r="Q179" s="49"/>
      <c r="R179" s="49"/>
      <c r="S179" s="49"/>
      <c r="T179" s="49"/>
      <c r="U179" s="49"/>
      <c r="V179" s="41"/>
      <c r="W179" s="115"/>
      <c r="X179" s="115"/>
      <c r="Y179" s="115"/>
      <c r="Z179" s="115"/>
      <c r="AA179" s="115"/>
      <c r="AB179" s="115">
        <v>6000000</v>
      </c>
      <c r="AC179" s="113">
        <f t="shared" si="3"/>
        <v>6000000</v>
      </c>
      <c r="AD179" s="108" t="s">
        <v>336</v>
      </c>
    </row>
    <row r="180" spans="1:30" ht="14.25" thickBot="1" thickTop="1">
      <c r="A180" s="38">
        <v>36111</v>
      </c>
      <c r="B180" s="39" t="s">
        <v>22</v>
      </c>
      <c r="C180" s="40" t="s">
        <v>27</v>
      </c>
      <c r="D180" s="40" t="s">
        <v>821</v>
      </c>
      <c r="E180" s="48"/>
      <c r="F180" s="48"/>
      <c r="G180" s="48"/>
      <c r="H180" s="48">
        <v>15914</v>
      </c>
      <c r="I180" s="48">
        <v>109</v>
      </c>
      <c r="J180" s="48">
        <v>0</v>
      </c>
      <c r="K180" s="48">
        <v>22</v>
      </c>
      <c r="L180" s="48"/>
      <c r="M180" s="49"/>
      <c r="N180" s="49"/>
      <c r="O180" s="49"/>
      <c r="P180" s="49"/>
      <c r="Q180" s="49"/>
      <c r="R180" s="49"/>
      <c r="S180" s="49"/>
      <c r="T180" s="49"/>
      <c r="U180" s="49"/>
      <c r="V180" s="41"/>
      <c r="W180" s="115"/>
      <c r="X180" s="115"/>
      <c r="Y180" s="115"/>
      <c r="Z180" s="115"/>
      <c r="AA180" s="115"/>
      <c r="AB180" s="115"/>
      <c r="AC180" s="113">
        <f t="shared" si="3"/>
        <v>0</v>
      </c>
      <c r="AD180" s="108" t="s">
        <v>238</v>
      </c>
    </row>
    <row r="181" spans="1:30" ht="14.25" thickBot="1" thickTop="1">
      <c r="A181" s="38">
        <v>36111</v>
      </c>
      <c r="B181" s="39" t="s">
        <v>22</v>
      </c>
      <c r="C181" s="40" t="s">
        <v>27</v>
      </c>
      <c r="D181" s="40" t="s">
        <v>821</v>
      </c>
      <c r="E181" s="48"/>
      <c r="F181" s="48"/>
      <c r="G181" s="48"/>
      <c r="H181" s="48">
        <v>15914</v>
      </c>
      <c r="I181" s="48">
        <v>109</v>
      </c>
      <c r="J181" s="48">
        <v>109</v>
      </c>
      <c r="K181" s="48">
        <v>22</v>
      </c>
      <c r="L181" s="48"/>
      <c r="M181" s="49"/>
      <c r="N181" s="49"/>
      <c r="O181" s="49"/>
      <c r="P181" s="49"/>
      <c r="Q181" s="49"/>
      <c r="R181" s="49"/>
      <c r="S181" s="49"/>
      <c r="T181" s="49"/>
      <c r="U181" s="49"/>
      <c r="V181" s="41"/>
      <c r="W181" s="115">
        <v>3719605.78</v>
      </c>
      <c r="X181" s="115">
        <v>475904</v>
      </c>
      <c r="Y181" s="115"/>
      <c r="Z181" s="115"/>
      <c r="AA181" s="115"/>
      <c r="AB181" s="115"/>
      <c r="AC181" s="113">
        <f t="shared" si="3"/>
        <v>4195509.779999999</v>
      </c>
      <c r="AD181" s="108" t="s">
        <v>337</v>
      </c>
    </row>
    <row r="182" spans="1:30" ht="14.25" thickBot="1" thickTop="1">
      <c r="A182" s="38">
        <v>35880</v>
      </c>
      <c r="B182" s="39" t="s">
        <v>22</v>
      </c>
      <c r="C182" s="40" t="s">
        <v>31</v>
      </c>
      <c r="D182" s="40" t="s">
        <v>911</v>
      </c>
      <c r="E182" s="48"/>
      <c r="F182" s="48"/>
      <c r="G182" s="48"/>
      <c r="H182" s="48">
        <v>31011</v>
      </c>
      <c r="I182" s="48">
        <v>60</v>
      </c>
      <c r="J182" s="48">
        <v>60</v>
      </c>
      <c r="K182" s="48">
        <v>12</v>
      </c>
      <c r="L182" s="48"/>
      <c r="M182" s="49">
        <v>12</v>
      </c>
      <c r="N182" s="49"/>
      <c r="O182" s="49"/>
      <c r="P182" s="49"/>
      <c r="Q182" s="49"/>
      <c r="R182" s="49"/>
      <c r="S182" s="49"/>
      <c r="T182" s="49"/>
      <c r="U182" s="49"/>
      <c r="V182" s="41"/>
      <c r="W182" s="115">
        <v>1481633</v>
      </c>
      <c r="X182" s="115">
        <v>1104000</v>
      </c>
      <c r="Y182" s="115"/>
      <c r="Z182" s="115"/>
      <c r="AA182" s="115"/>
      <c r="AB182" s="115"/>
      <c r="AC182" s="113">
        <f aca="true" t="shared" si="4" ref="AC182:AC214">+W182+X182+Y182+Z182+AA182+AB182</f>
        <v>2585633</v>
      </c>
      <c r="AD182" s="108"/>
    </row>
    <row r="183" spans="1:30" ht="51" thickBot="1" thickTop="1">
      <c r="A183" s="38">
        <v>36092</v>
      </c>
      <c r="B183" s="39" t="s">
        <v>22</v>
      </c>
      <c r="C183" s="40" t="s">
        <v>812</v>
      </c>
      <c r="D183" s="40" t="s">
        <v>821</v>
      </c>
      <c r="E183" s="48"/>
      <c r="F183" s="48"/>
      <c r="G183" s="48"/>
      <c r="H183" s="48">
        <v>4280</v>
      </c>
      <c r="I183" s="48">
        <f>231*5</f>
        <v>1155</v>
      </c>
      <c r="J183" s="48">
        <f>231*5</f>
        <v>1155</v>
      </c>
      <c r="K183" s="48">
        <v>231</v>
      </c>
      <c r="L183" s="48"/>
      <c r="M183" s="49"/>
      <c r="N183" s="49"/>
      <c r="O183" s="49"/>
      <c r="P183" s="49"/>
      <c r="Q183" s="49"/>
      <c r="R183" s="49"/>
      <c r="S183" s="49"/>
      <c r="T183" s="49"/>
      <c r="U183" s="49"/>
      <c r="V183" s="41"/>
      <c r="W183" s="115">
        <v>29874451.529999997</v>
      </c>
      <c r="X183" s="115">
        <v>5313000</v>
      </c>
      <c r="Y183" s="115"/>
      <c r="Z183" s="115"/>
      <c r="AA183" s="115"/>
      <c r="AB183" s="115"/>
      <c r="AC183" s="113">
        <f t="shared" si="4"/>
        <v>35187451.53</v>
      </c>
      <c r="AD183" s="108" t="s">
        <v>728</v>
      </c>
    </row>
    <row r="184" spans="1:30" ht="34.5" thickBot="1" thickTop="1">
      <c r="A184" s="38">
        <v>36056</v>
      </c>
      <c r="B184" s="39" t="s">
        <v>22</v>
      </c>
      <c r="C184" s="40" t="s">
        <v>735</v>
      </c>
      <c r="D184" s="40" t="s">
        <v>911</v>
      </c>
      <c r="E184" s="48"/>
      <c r="F184" s="48"/>
      <c r="G184" s="48"/>
      <c r="H184" s="48"/>
      <c r="I184" s="48">
        <f>36*5</f>
        <v>180</v>
      </c>
      <c r="J184" s="48">
        <v>0</v>
      </c>
      <c r="K184" s="48">
        <v>36</v>
      </c>
      <c r="L184" s="48">
        <v>2</v>
      </c>
      <c r="M184" s="49">
        <f>17+12+5</f>
        <v>34</v>
      </c>
      <c r="N184" s="49"/>
      <c r="O184" s="49"/>
      <c r="P184" s="49"/>
      <c r="Q184" s="49"/>
      <c r="R184" s="49"/>
      <c r="S184" s="49"/>
      <c r="T184" s="49">
        <v>2</v>
      </c>
      <c r="U184" s="49"/>
      <c r="V184" s="41"/>
      <c r="W184" s="115"/>
      <c r="X184" s="115"/>
      <c r="Y184" s="115"/>
      <c r="Z184" s="115"/>
      <c r="AA184" s="115"/>
      <c r="AB184" s="115"/>
      <c r="AC184" s="113">
        <f t="shared" si="4"/>
        <v>0</v>
      </c>
      <c r="AD184" s="108" t="s">
        <v>736</v>
      </c>
    </row>
    <row r="185" spans="1:30" ht="14.25" thickBot="1" thickTop="1">
      <c r="A185" s="38">
        <v>36085</v>
      </c>
      <c r="B185" s="39" t="s">
        <v>22</v>
      </c>
      <c r="C185" s="40" t="s">
        <v>770</v>
      </c>
      <c r="D185" s="40" t="s">
        <v>879</v>
      </c>
      <c r="E185" s="48"/>
      <c r="F185" s="48"/>
      <c r="G185" s="48"/>
      <c r="H185" s="48">
        <v>9489</v>
      </c>
      <c r="I185" s="48">
        <v>25</v>
      </c>
      <c r="J185" s="48">
        <v>25</v>
      </c>
      <c r="K185" s="48">
        <v>5</v>
      </c>
      <c r="L185" s="48">
        <v>3</v>
      </c>
      <c r="M185" s="49">
        <v>2</v>
      </c>
      <c r="N185" s="49"/>
      <c r="O185" s="49"/>
      <c r="P185" s="49"/>
      <c r="Q185" s="49"/>
      <c r="R185" s="49"/>
      <c r="S185" s="49"/>
      <c r="T185" s="49"/>
      <c r="U185" s="49"/>
      <c r="V185" s="41"/>
      <c r="W185" s="115">
        <v>983024</v>
      </c>
      <c r="X185" s="115">
        <v>115000</v>
      </c>
      <c r="Y185" s="115"/>
      <c r="Z185" s="115"/>
      <c r="AA185" s="115"/>
      <c r="AB185" s="115"/>
      <c r="AC185" s="113">
        <f t="shared" si="4"/>
        <v>1098024</v>
      </c>
      <c r="AD185" s="108" t="s">
        <v>771</v>
      </c>
    </row>
    <row r="186" spans="1:30" ht="18" thickBot="1" thickTop="1">
      <c r="A186" s="38">
        <v>35858</v>
      </c>
      <c r="B186" s="39" t="s">
        <v>22</v>
      </c>
      <c r="C186" s="40" t="s">
        <v>29</v>
      </c>
      <c r="D186" s="40" t="s">
        <v>821</v>
      </c>
      <c r="E186" s="48"/>
      <c r="F186" s="48"/>
      <c r="G186" s="48"/>
      <c r="H186" s="48">
        <v>8150</v>
      </c>
      <c r="I186" s="48">
        <v>150</v>
      </c>
      <c r="J186" s="48">
        <v>0</v>
      </c>
      <c r="K186" s="48">
        <v>30</v>
      </c>
      <c r="L186" s="48">
        <v>30</v>
      </c>
      <c r="M186" s="49"/>
      <c r="N186" s="49"/>
      <c r="O186" s="49"/>
      <c r="P186" s="49"/>
      <c r="Q186" s="49"/>
      <c r="R186" s="49"/>
      <c r="S186" s="49"/>
      <c r="T186" s="49"/>
      <c r="U186" s="49"/>
      <c r="V186" s="41"/>
      <c r="W186" s="115"/>
      <c r="X186" s="115"/>
      <c r="Y186" s="115"/>
      <c r="Z186" s="115"/>
      <c r="AA186" s="115"/>
      <c r="AB186" s="115"/>
      <c r="AC186" s="113">
        <f t="shared" si="4"/>
        <v>0</v>
      </c>
      <c r="AD186" s="108" t="s">
        <v>76</v>
      </c>
    </row>
    <row r="187" spans="1:30" ht="14.25" thickBot="1" thickTop="1">
      <c r="A187" s="38">
        <v>35915</v>
      </c>
      <c r="B187" s="39" t="s">
        <v>22</v>
      </c>
      <c r="C187" s="40" t="s">
        <v>29</v>
      </c>
      <c r="D187" s="40" t="s">
        <v>911</v>
      </c>
      <c r="E187" s="48"/>
      <c r="F187" s="48"/>
      <c r="G187" s="48"/>
      <c r="H187" s="48">
        <v>8150</v>
      </c>
      <c r="I187" s="48">
        <v>225</v>
      </c>
      <c r="J187" s="48">
        <v>0</v>
      </c>
      <c r="K187" s="48">
        <v>45</v>
      </c>
      <c r="L187" s="48">
        <v>7</v>
      </c>
      <c r="M187" s="49">
        <v>38</v>
      </c>
      <c r="N187" s="49"/>
      <c r="O187" s="49"/>
      <c r="P187" s="49"/>
      <c r="Q187" s="49"/>
      <c r="R187" s="49"/>
      <c r="S187" s="49"/>
      <c r="T187" s="49"/>
      <c r="U187" s="49"/>
      <c r="V187" s="41"/>
      <c r="W187" s="115"/>
      <c r="X187" s="115"/>
      <c r="Y187" s="115"/>
      <c r="Z187" s="115"/>
      <c r="AA187" s="115"/>
      <c r="AB187" s="115"/>
      <c r="AC187" s="113">
        <f t="shared" si="4"/>
        <v>0</v>
      </c>
      <c r="AD187" s="108" t="s">
        <v>146</v>
      </c>
    </row>
    <row r="188" spans="1:30" ht="14.25" thickBot="1" thickTop="1">
      <c r="A188" s="38">
        <v>35915</v>
      </c>
      <c r="B188" s="39" t="s">
        <v>22</v>
      </c>
      <c r="C188" s="40" t="s">
        <v>29</v>
      </c>
      <c r="D188" s="40" t="s">
        <v>911</v>
      </c>
      <c r="E188" s="48"/>
      <c r="F188" s="48"/>
      <c r="G188" s="48"/>
      <c r="H188" s="48">
        <v>8150</v>
      </c>
      <c r="I188" s="48">
        <v>225</v>
      </c>
      <c r="J188" s="48">
        <v>0</v>
      </c>
      <c r="K188" s="48">
        <v>45</v>
      </c>
      <c r="L188" s="48">
        <v>7</v>
      </c>
      <c r="M188" s="49">
        <v>38</v>
      </c>
      <c r="N188" s="49"/>
      <c r="O188" s="49"/>
      <c r="P188" s="49"/>
      <c r="Q188" s="49"/>
      <c r="R188" s="49"/>
      <c r="S188" s="49"/>
      <c r="T188" s="49"/>
      <c r="U188" s="49"/>
      <c r="V188" s="41" t="s">
        <v>94</v>
      </c>
      <c r="W188" s="115"/>
      <c r="X188" s="115"/>
      <c r="Y188" s="115"/>
      <c r="Z188" s="115"/>
      <c r="AA188" s="115"/>
      <c r="AB188" s="115"/>
      <c r="AC188" s="113">
        <f t="shared" si="4"/>
        <v>0</v>
      </c>
      <c r="AD188" s="108" t="s">
        <v>149</v>
      </c>
    </row>
    <row r="189" spans="1:30" ht="14.25" thickBot="1" thickTop="1">
      <c r="A189" s="38">
        <v>35915</v>
      </c>
      <c r="B189" s="39" t="s">
        <v>22</v>
      </c>
      <c r="C189" s="40" t="s">
        <v>29</v>
      </c>
      <c r="D189" s="40" t="s">
        <v>821</v>
      </c>
      <c r="E189" s="48"/>
      <c r="F189" s="48"/>
      <c r="G189" s="48"/>
      <c r="H189" s="48">
        <v>8150</v>
      </c>
      <c r="I189" s="48">
        <v>160</v>
      </c>
      <c r="J189" s="48">
        <v>0</v>
      </c>
      <c r="K189" s="48">
        <v>32</v>
      </c>
      <c r="L189" s="48"/>
      <c r="M189" s="49">
        <v>32</v>
      </c>
      <c r="N189" s="49"/>
      <c r="O189" s="49"/>
      <c r="P189" s="49"/>
      <c r="Q189" s="49"/>
      <c r="R189" s="49"/>
      <c r="S189" s="49"/>
      <c r="T189" s="49"/>
      <c r="U189" s="49"/>
      <c r="V189" s="41" t="s">
        <v>94</v>
      </c>
      <c r="W189" s="115"/>
      <c r="X189" s="115"/>
      <c r="Y189" s="115"/>
      <c r="Z189" s="115"/>
      <c r="AA189" s="115"/>
      <c r="AB189" s="115"/>
      <c r="AC189" s="113">
        <f t="shared" si="4"/>
        <v>0</v>
      </c>
      <c r="AD189" s="108" t="s">
        <v>148</v>
      </c>
    </row>
    <row r="190" spans="1:30" ht="14.25" thickBot="1" thickTop="1">
      <c r="A190" s="38">
        <v>36111</v>
      </c>
      <c r="B190" s="39" t="s">
        <v>22</v>
      </c>
      <c r="C190" s="40" t="s">
        <v>29</v>
      </c>
      <c r="D190" s="40" t="s">
        <v>821</v>
      </c>
      <c r="E190" s="48"/>
      <c r="F190" s="48"/>
      <c r="G190" s="48"/>
      <c r="H190" s="48">
        <v>8150</v>
      </c>
      <c r="I190" s="48">
        <v>78</v>
      </c>
      <c r="J190" s="48">
        <v>0</v>
      </c>
      <c r="K190" s="48">
        <v>18</v>
      </c>
      <c r="L190" s="48"/>
      <c r="M190" s="49"/>
      <c r="N190" s="49"/>
      <c r="O190" s="49"/>
      <c r="P190" s="49"/>
      <c r="Q190" s="49"/>
      <c r="R190" s="49"/>
      <c r="S190" s="49"/>
      <c r="T190" s="49"/>
      <c r="U190" s="49"/>
      <c r="V190" s="41"/>
      <c r="W190" s="115"/>
      <c r="X190" s="115"/>
      <c r="Y190" s="115"/>
      <c r="Z190" s="115"/>
      <c r="AA190" s="115"/>
      <c r="AB190" s="115"/>
      <c r="AC190" s="113">
        <f t="shared" si="4"/>
        <v>0</v>
      </c>
      <c r="AD190" s="108" t="s">
        <v>238</v>
      </c>
    </row>
    <row r="191" spans="1:30" ht="14.25" thickBot="1" thickTop="1">
      <c r="A191" s="38">
        <v>36111</v>
      </c>
      <c r="B191" s="39" t="s">
        <v>22</v>
      </c>
      <c r="C191" s="40" t="s">
        <v>29</v>
      </c>
      <c r="D191" s="40" t="s">
        <v>821</v>
      </c>
      <c r="E191" s="48"/>
      <c r="F191" s="48"/>
      <c r="G191" s="48"/>
      <c r="H191" s="48">
        <v>8150</v>
      </c>
      <c r="I191" s="48">
        <v>78</v>
      </c>
      <c r="J191" s="48">
        <v>78</v>
      </c>
      <c r="K191" s="48">
        <v>18</v>
      </c>
      <c r="L191" s="48"/>
      <c r="M191" s="49"/>
      <c r="N191" s="49"/>
      <c r="O191" s="49"/>
      <c r="P191" s="49"/>
      <c r="Q191" s="49"/>
      <c r="R191" s="49"/>
      <c r="S191" s="49"/>
      <c r="T191" s="49"/>
      <c r="U191" s="49"/>
      <c r="V191" s="41"/>
      <c r="W191" s="115">
        <v>3043313.82</v>
      </c>
      <c r="X191" s="115">
        <v>389376</v>
      </c>
      <c r="Y191" s="115"/>
      <c r="Z191" s="115"/>
      <c r="AA191" s="115"/>
      <c r="AB191" s="115"/>
      <c r="AC191" s="113">
        <f t="shared" si="4"/>
        <v>3432689.82</v>
      </c>
      <c r="AD191" s="108"/>
    </row>
    <row r="192" spans="1:31" ht="26.25" thickBot="1" thickTop="1">
      <c r="A192" s="38">
        <v>36109</v>
      </c>
      <c r="B192" s="39" t="s">
        <v>22</v>
      </c>
      <c r="C192" s="40" t="s">
        <v>239</v>
      </c>
      <c r="D192" s="40" t="s">
        <v>821</v>
      </c>
      <c r="E192" s="48"/>
      <c r="F192" s="48"/>
      <c r="G192" s="48"/>
      <c r="H192" s="48">
        <v>5176</v>
      </c>
      <c r="I192" s="48">
        <v>440</v>
      </c>
      <c r="J192" s="48">
        <v>440</v>
      </c>
      <c r="K192" s="48">
        <v>146</v>
      </c>
      <c r="L192" s="48">
        <v>30</v>
      </c>
      <c r="M192" s="49"/>
      <c r="N192" s="49"/>
      <c r="O192" s="49"/>
      <c r="P192" s="49"/>
      <c r="Q192" s="49"/>
      <c r="R192" s="49"/>
      <c r="S192" s="49"/>
      <c r="T192" s="49"/>
      <c r="U192" s="49"/>
      <c r="V192" s="41"/>
      <c r="W192" s="115">
        <v>7319579.04</v>
      </c>
      <c r="X192" s="115">
        <v>3312000</v>
      </c>
      <c r="Y192" s="115"/>
      <c r="Z192" s="115"/>
      <c r="AA192" s="115"/>
      <c r="AB192" s="115"/>
      <c r="AC192" s="113">
        <f t="shared" si="4"/>
        <v>10631579.04</v>
      </c>
      <c r="AD192" s="108" t="s">
        <v>71</v>
      </c>
      <c r="AE192" s="4" t="s">
        <v>594</v>
      </c>
    </row>
    <row r="193" spans="1:30" ht="14.25" thickBot="1" thickTop="1">
      <c r="A193" s="38">
        <v>35915</v>
      </c>
      <c r="B193" s="39" t="s">
        <v>22</v>
      </c>
      <c r="C193" s="40" t="s">
        <v>147</v>
      </c>
      <c r="D193" s="40" t="s">
        <v>911</v>
      </c>
      <c r="E193" s="48"/>
      <c r="F193" s="48"/>
      <c r="G193" s="48"/>
      <c r="H193" s="48">
        <v>102003</v>
      </c>
      <c r="I193" s="48">
        <v>310</v>
      </c>
      <c r="J193" s="48">
        <v>0</v>
      </c>
      <c r="K193" s="48">
        <v>62</v>
      </c>
      <c r="L193" s="48">
        <v>15</v>
      </c>
      <c r="M193" s="49"/>
      <c r="N193" s="49"/>
      <c r="O193" s="49"/>
      <c r="P193" s="49"/>
      <c r="Q193" s="49"/>
      <c r="R193" s="49"/>
      <c r="S193" s="49"/>
      <c r="T193" s="49"/>
      <c r="U193" s="49"/>
      <c r="V193" s="41"/>
      <c r="W193" s="115"/>
      <c r="X193" s="115"/>
      <c r="Y193" s="115"/>
      <c r="Z193" s="115"/>
      <c r="AA193" s="115"/>
      <c r="AB193" s="115"/>
      <c r="AC193" s="113">
        <f t="shared" si="4"/>
        <v>0</v>
      </c>
      <c r="AD193" s="108"/>
    </row>
    <row r="194" spans="1:30" ht="14.25" thickBot="1" thickTop="1">
      <c r="A194" s="38">
        <v>36119</v>
      </c>
      <c r="B194" s="39" t="s">
        <v>22</v>
      </c>
      <c r="C194" s="40" t="s">
        <v>147</v>
      </c>
      <c r="D194" s="40" t="s">
        <v>821</v>
      </c>
      <c r="E194" s="48"/>
      <c r="F194" s="48"/>
      <c r="G194" s="48"/>
      <c r="H194" s="48">
        <v>102003</v>
      </c>
      <c r="I194" s="48">
        <v>188</v>
      </c>
      <c r="J194" s="48">
        <v>188</v>
      </c>
      <c r="K194" s="48">
        <v>47</v>
      </c>
      <c r="L194" s="48"/>
      <c r="M194" s="49"/>
      <c r="N194" s="49"/>
      <c r="O194" s="49"/>
      <c r="P194" s="49"/>
      <c r="Q194" s="49"/>
      <c r="R194" s="49"/>
      <c r="S194" s="49"/>
      <c r="T194" s="49"/>
      <c r="U194" s="49"/>
      <c r="V194" s="41"/>
      <c r="W194" s="115">
        <v>7946430.53</v>
      </c>
      <c r="X194" s="115">
        <v>1016704</v>
      </c>
      <c r="Y194" s="115"/>
      <c r="Z194" s="115"/>
      <c r="AA194" s="115"/>
      <c r="AB194" s="115"/>
      <c r="AC194" s="113">
        <f t="shared" si="4"/>
        <v>8963134.530000001</v>
      </c>
      <c r="AD194" s="108" t="s">
        <v>338</v>
      </c>
    </row>
    <row r="195" spans="1:30" ht="42.75" thickBot="1" thickTop="1">
      <c r="A195" s="38">
        <v>36092</v>
      </c>
      <c r="B195" s="39" t="s">
        <v>22</v>
      </c>
      <c r="C195" s="40" t="s">
        <v>769</v>
      </c>
      <c r="D195" s="40" t="s">
        <v>821</v>
      </c>
      <c r="E195" s="48"/>
      <c r="F195" s="48"/>
      <c r="G195" s="48"/>
      <c r="H195" s="48">
        <v>28635</v>
      </c>
      <c r="I195" s="48">
        <f>726+271</f>
        <v>997</v>
      </c>
      <c r="J195" s="48">
        <f>726+271</f>
        <v>997</v>
      </c>
      <c r="K195" s="48">
        <f>130+57</f>
        <v>187</v>
      </c>
      <c r="L195" s="48">
        <f>35+8</f>
        <v>43</v>
      </c>
      <c r="M195" s="49">
        <v>34</v>
      </c>
      <c r="N195" s="49"/>
      <c r="O195" s="49"/>
      <c r="P195" s="49"/>
      <c r="Q195" s="49"/>
      <c r="R195" s="49"/>
      <c r="S195" s="49"/>
      <c r="T195" s="49"/>
      <c r="U195" s="49"/>
      <c r="V195" s="41" t="s">
        <v>745</v>
      </c>
      <c r="W195" s="115">
        <v>24184079.81</v>
      </c>
      <c r="X195" s="115">
        <v>4301000</v>
      </c>
      <c r="Y195" s="115"/>
      <c r="Z195" s="115"/>
      <c r="AA195" s="115">
        <v>5040000</v>
      </c>
      <c r="AB195" s="115"/>
      <c r="AC195" s="113">
        <f t="shared" si="4"/>
        <v>33525079.81</v>
      </c>
      <c r="AD195" s="108" t="s">
        <v>405</v>
      </c>
    </row>
    <row r="196" spans="1:30" ht="24" thickBot="1" thickTop="1">
      <c r="A196" s="38">
        <v>36094</v>
      </c>
      <c r="B196" s="39" t="s">
        <v>22</v>
      </c>
      <c r="C196" s="40" t="s">
        <v>362</v>
      </c>
      <c r="D196" s="40" t="s">
        <v>891</v>
      </c>
      <c r="E196" s="48"/>
      <c r="F196" s="48"/>
      <c r="G196" s="48"/>
      <c r="H196" s="48">
        <v>6244</v>
      </c>
      <c r="I196" s="48">
        <v>20</v>
      </c>
      <c r="J196" s="48">
        <v>0</v>
      </c>
      <c r="K196" s="48">
        <v>4</v>
      </c>
      <c r="L196" s="48">
        <v>4</v>
      </c>
      <c r="M196" s="49"/>
      <c r="N196" s="49"/>
      <c r="O196" s="49"/>
      <c r="P196" s="49"/>
      <c r="Q196" s="49"/>
      <c r="R196" s="49"/>
      <c r="S196" s="49"/>
      <c r="T196" s="49"/>
      <c r="U196" s="49"/>
      <c r="V196" s="41"/>
      <c r="W196" s="115"/>
      <c r="X196" s="115"/>
      <c r="Y196" s="115"/>
      <c r="Z196" s="115"/>
      <c r="AA196" s="115"/>
      <c r="AB196" s="115"/>
      <c r="AC196" s="113">
        <f t="shared" si="4"/>
        <v>0</v>
      </c>
      <c r="AD196" s="108" t="s">
        <v>324</v>
      </c>
    </row>
    <row r="197" spans="1:30" ht="24.75" thickBot="1" thickTop="1">
      <c r="A197" s="38">
        <v>36032</v>
      </c>
      <c r="B197" s="39" t="s">
        <v>22</v>
      </c>
      <c r="C197" s="40" t="s">
        <v>665</v>
      </c>
      <c r="D197" s="40" t="s">
        <v>879</v>
      </c>
      <c r="E197" s="48"/>
      <c r="F197" s="48"/>
      <c r="G197" s="48"/>
      <c r="H197" s="48">
        <v>20551</v>
      </c>
      <c r="I197" s="48">
        <v>35</v>
      </c>
      <c r="J197" s="48">
        <v>0</v>
      </c>
      <c r="K197" s="48">
        <v>7</v>
      </c>
      <c r="L197" s="48">
        <v>7</v>
      </c>
      <c r="M197" s="49"/>
      <c r="N197" s="49"/>
      <c r="O197" s="49"/>
      <c r="P197" s="49"/>
      <c r="Q197" s="49"/>
      <c r="R197" s="49"/>
      <c r="S197" s="49"/>
      <c r="T197" s="49"/>
      <c r="U197" s="49"/>
      <c r="V197" s="41"/>
      <c r="W197" s="115"/>
      <c r="X197" s="115"/>
      <c r="Y197" s="115"/>
      <c r="Z197" s="115"/>
      <c r="AA197" s="115"/>
      <c r="AB197" s="115"/>
      <c r="AC197" s="113">
        <f t="shared" si="4"/>
        <v>0</v>
      </c>
      <c r="AD197" s="108" t="s">
        <v>666</v>
      </c>
    </row>
    <row r="198" spans="1:30" ht="14.25" thickBot="1" thickTop="1">
      <c r="A198" s="38">
        <v>35923</v>
      </c>
      <c r="B198" s="39" t="s">
        <v>877</v>
      </c>
      <c r="C198" s="40" t="s">
        <v>281</v>
      </c>
      <c r="D198" s="40" t="s">
        <v>821</v>
      </c>
      <c r="E198" s="48"/>
      <c r="F198" s="48"/>
      <c r="G198" s="48"/>
      <c r="H198" s="48"/>
      <c r="I198" s="48">
        <v>1250</v>
      </c>
      <c r="J198" s="48">
        <v>0</v>
      </c>
      <c r="K198" s="48">
        <v>250</v>
      </c>
      <c r="L198" s="48"/>
      <c r="M198" s="49"/>
      <c r="N198" s="49"/>
      <c r="O198" s="49"/>
      <c r="P198" s="49"/>
      <c r="Q198" s="49"/>
      <c r="R198" s="49"/>
      <c r="S198" s="49"/>
      <c r="T198" s="49"/>
      <c r="U198" s="49"/>
      <c r="V198" s="41"/>
      <c r="W198" s="115"/>
      <c r="X198" s="115"/>
      <c r="Y198" s="115"/>
      <c r="Z198" s="115"/>
      <c r="AA198" s="115"/>
      <c r="AB198" s="115"/>
      <c r="AC198" s="113">
        <f t="shared" si="4"/>
        <v>0</v>
      </c>
      <c r="AD198" s="108" t="s">
        <v>282</v>
      </c>
    </row>
    <row r="199" spans="1:30" ht="14.25" thickBot="1" thickTop="1">
      <c r="A199" s="38">
        <v>35982</v>
      </c>
      <c r="B199" s="39" t="s">
        <v>877</v>
      </c>
      <c r="C199" s="40" t="s">
        <v>531</v>
      </c>
      <c r="D199" s="40" t="s">
        <v>821</v>
      </c>
      <c r="E199" s="48"/>
      <c r="F199" s="48"/>
      <c r="G199" s="48"/>
      <c r="H199" s="48">
        <v>4620</v>
      </c>
      <c r="I199" s="48">
        <v>300</v>
      </c>
      <c r="J199" s="48">
        <v>300</v>
      </c>
      <c r="K199" s="48">
        <v>60</v>
      </c>
      <c r="L199" s="48"/>
      <c r="M199" s="49"/>
      <c r="N199" s="49"/>
      <c r="O199" s="49"/>
      <c r="P199" s="49"/>
      <c r="Q199" s="49"/>
      <c r="R199" s="49"/>
      <c r="S199" s="49"/>
      <c r="T199" s="49"/>
      <c r="U199" s="49"/>
      <c r="V199" s="41"/>
      <c r="W199" s="115"/>
      <c r="X199" s="115">
        <v>1081000</v>
      </c>
      <c r="Y199" s="115"/>
      <c r="Z199" s="115"/>
      <c r="AA199" s="115"/>
      <c r="AB199" s="115"/>
      <c r="AC199" s="113">
        <f t="shared" si="4"/>
        <v>1081000</v>
      </c>
      <c r="AD199" s="108"/>
    </row>
    <row r="200" spans="1:30" ht="14.25" thickBot="1" thickTop="1">
      <c r="A200" s="38">
        <v>35821</v>
      </c>
      <c r="B200" s="40" t="s">
        <v>877</v>
      </c>
      <c r="C200" s="40" t="s">
        <v>878</v>
      </c>
      <c r="D200" s="40" t="s">
        <v>879</v>
      </c>
      <c r="E200" s="48"/>
      <c r="F200" s="48"/>
      <c r="G200" s="48"/>
      <c r="H200" s="48">
        <v>14904</v>
      </c>
      <c r="I200" s="48">
        <v>50</v>
      </c>
      <c r="J200" s="48">
        <v>0</v>
      </c>
      <c r="K200" s="48">
        <v>9</v>
      </c>
      <c r="L200" s="48">
        <v>9</v>
      </c>
      <c r="M200" s="49"/>
      <c r="N200" s="49"/>
      <c r="O200" s="49"/>
      <c r="P200" s="49"/>
      <c r="Q200" s="49"/>
      <c r="R200" s="49"/>
      <c r="S200" s="49"/>
      <c r="T200" s="49"/>
      <c r="U200" s="49"/>
      <c r="V200" s="41" t="s">
        <v>880</v>
      </c>
      <c r="W200" s="115"/>
      <c r="X200" s="115"/>
      <c r="Y200" s="115"/>
      <c r="Z200" s="115"/>
      <c r="AA200" s="115"/>
      <c r="AB200" s="115"/>
      <c r="AC200" s="113">
        <f t="shared" si="4"/>
        <v>0</v>
      </c>
      <c r="AD200" s="108" t="s">
        <v>881</v>
      </c>
    </row>
    <row r="201" spans="1:30" ht="14.25" thickBot="1" thickTop="1">
      <c r="A201" s="38">
        <v>35982</v>
      </c>
      <c r="B201" s="39" t="s">
        <v>877</v>
      </c>
      <c r="C201" s="40" t="s">
        <v>878</v>
      </c>
      <c r="D201" s="40" t="s">
        <v>821</v>
      </c>
      <c r="E201" s="48"/>
      <c r="F201" s="48"/>
      <c r="G201" s="48"/>
      <c r="H201" s="48">
        <v>14904</v>
      </c>
      <c r="I201" s="48">
        <v>350</v>
      </c>
      <c r="J201" s="48">
        <v>350</v>
      </c>
      <c r="K201" s="48">
        <v>70</v>
      </c>
      <c r="L201" s="48"/>
      <c r="M201" s="49"/>
      <c r="N201" s="49"/>
      <c r="O201" s="49"/>
      <c r="P201" s="49"/>
      <c r="Q201" s="49"/>
      <c r="R201" s="49"/>
      <c r="S201" s="49"/>
      <c r="T201" s="49"/>
      <c r="U201" s="49"/>
      <c r="V201" s="41"/>
      <c r="W201" s="115"/>
      <c r="X201" s="115">
        <v>1311000</v>
      </c>
      <c r="Y201" s="115"/>
      <c r="Z201" s="115"/>
      <c r="AA201" s="115"/>
      <c r="AB201" s="115"/>
      <c r="AC201" s="113">
        <f t="shared" si="4"/>
        <v>1311000</v>
      </c>
      <c r="AD201" s="108"/>
    </row>
    <row r="202" spans="1:30" ht="14.25" thickBot="1" thickTop="1">
      <c r="A202" s="38">
        <v>35989</v>
      </c>
      <c r="B202" s="39" t="s">
        <v>877</v>
      </c>
      <c r="C202" s="40" t="s">
        <v>521</v>
      </c>
      <c r="D202" s="40" t="s">
        <v>821</v>
      </c>
      <c r="E202" s="48"/>
      <c r="F202" s="48"/>
      <c r="G202" s="48"/>
      <c r="H202" s="48">
        <v>65965</v>
      </c>
      <c r="I202" s="48">
        <v>300</v>
      </c>
      <c r="J202" s="48">
        <v>300</v>
      </c>
      <c r="K202" s="48">
        <v>60</v>
      </c>
      <c r="L202" s="48"/>
      <c r="M202" s="49"/>
      <c r="N202" s="49"/>
      <c r="O202" s="49"/>
      <c r="P202" s="49"/>
      <c r="Q202" s="49"/>
      <c r="R202" s="49"/>
      <c r="S202" s="49"/>
      <c r="T202" s="49"/>
      <c r="U202" s="49"/>
      <c r="V202" s="41"/>
      <c r="W202" s="115"/>
      <c r="X202" s="115">
        <v>1104000</v>
      </c>
      <c r="Y202" s="115"/>
      <c r="Z202" s="115"/>
      <c r="AA202" s="115"/>
      <c r="AB202" s="115"/>
      <c r="AC202" s="113">
        <f t="shared" si="4"/>
        <v>1104000</v>
      </c>
      <c r="AD202" s="108"/>
    </row>
    <row r="203" spans="1:30" ht="84" thickBot="1" thickTop="1">
      <c r="A203" s="38">
        <v>36032</v>
      </c>
      <c r="B203" s="39" t="s">
        <v>877</v>
      </c>
      <c r="C203" s="40" t="s">
        <v>474</v>
      </c>
      <c r="D203" s="40" t="s">
        <v>821</v>
      </c>
      <c r="E203" s="48"/>
      <c r="F203" s="48"/>
      <c r="G203" s="48"/>
      <c r="H203" s="48">
        <v>11153</v>
      </c>
      <c r="I203" s="48">
        <f>259*5</f>
        <v>1295</v>
      </c>
      <c r="J203" s="48">
        <f>259*5</f>
        <v>1295</v>
      </c>
      <c r="K203" s="48">
        <v>259</v>
      </c>
      <c r="L203" s="48"/>
      <c r="M203" s="49"/>
      <c r="N203" s="49"/>
      <c r="O203" s="49"/>
      <c r="P203" s="49"/>
      <c r="Q203" s="49"/>
      <c r="R203" s="49"/>
      <c r="S203" s="49"/>
      <c r="T203" s="49"/>
      <c r="U203" s="49"/>
      <c r="V203" s="41"/>
      <c r="W203" s="115">
        <v>5548922.19</v>
      </c>
      <c r="X203" s="115">
        <v>5957000</v>
      </c>
      <c r="Y203" s="115"/>
      <c r="Z203" s="115"/>
      <c r="AA203" s="115"/>
      <c r="AB203" s="115"/>
      <c r="AC203" s="113">
        <f t="shared" si="4"/>
        <v>11505922.190000001</v>
      </c>
      <c r="AD203" s="108" t="s">
        <v>673</v>
      </c>
    </row>
    <row r="204" spans="1:30" ht="18" thickBot="1" thickTop="1">
      <c r="A204" s="38">
        <v>36037</v>
      </c>
      <c r="B204" s="39" t="s">
        <v>877</v>
      </c>
      <c r="C204" s="40" t="s">
        <v>651</v>
      </c>
      <c r="D204" s="40" t="s">
        <v>911</v>
      </c>
      <c r="E204" s="48"/>
      <c r="F204" s="48"/>
      <c r="G204" s="48"/>
      <c r="H204" s="48">
        <v>33137</v>
      </c>
      <c r="I204" s="48">
        <f>71*5</f>
        <v>355</v>
      </c>
      <c r="J204" s="48">
        <f>71*5</f>
        <v>355</v>
      </c>
      <c r="K204" s="48">
        <v>71</v>
      </c>
      <c r="L204" s="48">
        <v>15</v>
      </c>
      <c r="M204" s="49">
        <v>55</v>
      </c>
      <c r="N204" s="49"/>
      <c r="O204" s="49"/>
      <c r="P204" s="49">
        <v>2</v>
      </c>
      <c r="Q204" s="49"/>
      <c r="R204" s="49"/>
      <c r="S204" s="49"/>
      <c r="T204" s="49">
        <v>16</v>
      </c>
      <c r="U204" s="49">
        <v>2</v>
      </c>
      <c r="V204" s="41"/>
      <c r="W204" s="115"/>
      <c r="X204" s="115"/>
      <c r="Y204" s="115">
        <v>1574120</v>
      </c>
      <c r="Z204" s="115"/>
      <c r="AA204" s="115"/>
      <c r="AB204" s="115"/>
      <c r="AC204" s="113">
        <f t="shared" si="4"/>
        <v>1574120</v>
      </c>
      <c r="AD204" s="108" t="s">
        <v>731</v>
      </c>
    </row>
    <row r="205" spans="1:30" ht="24" thickBot="1" thickTop="1">
      <c r="A205" s="38">
        <v>35977</v>
      </c>
      <c r="B205" s="39" t="s">
        <v>877</v>
      </c>
      <c r="C205" s="40" t="s">
        <v>533</v>
      </c>
      <c r="D205" s="40" t="s">
        <v>891</v>
      </c>
      <c r="E205" s="48"/>
      <c r="F205" s="48"/>
      <c r="G205" s="48"/>
      <c r="H205" s="48">
        <v>37271</v>
      </c>
      <c r="I205" s="48">
        <v>100</v>
      </c>
      <c r="J205" s="48">
        <v>0</v>
      </c>
      <c r="K205" s="48">
        <v>20</v>
      </c>
      <c r="L205" s="48"/>
      <c r="M205" s="49"/>
      <c r="N205" s="49"/>
      <c r="O205" s="49"/>
      <c r="P205" s="49"/>
      <c r="Q205" s="49"/>
      <c r="R205" s="49"/>
      <c r="S205" s="49"/>
      <c r="T205" s="49"/>
      <c r="U205" s="49"/>
      <c r="V205" s="41"/>
      <c r="W205" s="115"/>
      <c r="X205" s="115"/>
      <c r="Y205" s="115"/>
      <c r="Z205" s="115"/>
      <c r="AA205" s="115"/>
      <c r="AB205" s="115"/>
      <c r="AC205" s="113">
        <f t="shared" si="4"/>
        <v>0</v>
      </c>
      <c r="AD205" s="108"/>
    </row>
    <row r="206" spans="1:30" ht="14.25" thickBot="1" thickTop="1">
      <c r="A206" s="38">
        <v>35989</v>
      </c>
      <c r="B206" s="39" t="s">
        <v>877</v>
      </c>
      <c r="C206" s="40" t="s">
        <v>520</v>
      </c>
      <c r="D206" s="40" t="s">
        <v>821</v>
      </c>
      <c r="E206" s="48"/>
      <c r="F206" s="48"/>
      <c r="G206" s="48"/>
      <c r="H206" s="48"/>
      <c r="I206" s="48">
        <v>910</v>
      </c>
      <c r="J206" s="48">
        <v>910</v>
      </c>
      <c r="K206" s="48">
        <v>182</v>
      </c>
      <c r="L206" s="48"/>
      <c r="M206" s="49"/>
      <c r="N206" s="49"/>
      <c r="O206" s="49"/>
      <c r="P206" s="49"/>
      <c r="Q206" s="49"/>
      <c r="R206" s="49"/>
      <c r="S206" s="49"/>
      <c r="T206" s="49"/>
      <c r="U206" s="49"/>
      <c r="V206" s="41" t="s">
        <v>94</v>
      </c>
      <c r="W206" s="115"/>
      <c r="X206" s="115">
        <v>5750000</v>
      </c>
      <c r="Y206" s="115"/>
      <c r="Z206" s="115"/>
      <c r="AA206" s="115"/>
      <c r="AB206" s="115"/>
      <c r="AC206" s="113">
        <f t="shared" si="4"/>
        <v>5750000</v>
      </c>
      <c r="AD206" s="108"/>
    </row>
    <row r="207" spans="1:30" ht="14.25" thickBot="1" thickTop="1">
      <c r="A207" s="38">
        <v>35982</v>
      </c>
      <c r="B207" s="39" t="s">
        <v>877</v>
      </c>
      <c r="C207" s="40" t="s">
        <v>528</v>
      </c>
      <c r="D207" s="40" t="s">
        <v>821</v>
      </c>
      <c r="E207" s="48"/>
      <c r="F207" s="48"/>
      <c r="G207" s="48"/>
      <c r="H207" s="48"/>
      <c r="I207" s="48">
        <v>490</v>
      </c>
      <c r="J207" s="48">
        <v>490</v>
      </c>
      <c r="K207" s="48">
        <v>98</v>
      </c>
      <c r="L207" s="48"/>
      <c r="M207" s="49"/>
      <c r="N207" s="49"/>
      <c r="O207" s="49"/>
      <c r="P207" s="49"/>
      <c r="Q207" s="49"/>
      <c r="R207" s="49"/>
      <c r="S207" s="49"/>
      <c r="T207" s="49"/>
      <c r="U207" s="49"/>
      <c r="V207" s="41"/>
      <c r="W207" s="115"/>
      <c r="X207" s="115">
        <v>1955000</v>
      </c>
      <c r="Y207" s="115"/>
      <c r="Z207" s="115"/>
      <c r="AA207" s="115"/>
      <c r="AB207" s="115"/>
      <c r="AC207" s="113">
        <f t="shared" si="4"/>
        <v>1955000</v>
      </c>
      <c r="AD207" s="108"/>
    </row>
    <row r="208" spans="1:30" ht="14.25" thickBot="1" thickTop="1">
      <c r="A208" s="38">
        <v>35884</v>
      </c>
      <c r="B208" s="39" t="s">
        <v>877</v>
      </c>
      <c r="C208" s="40" t="s">
        <v>68</v>
      </c>
      <c r="D208" s="40" t="s">
        <v>884</v>
      </c>
      <c r="E208" s="48"/>
      <c r="F208" s="48"/>
      <c r="G208" s="48"/>
      <c r="H208" s="48">
        <v>10543</v>
      </c>
      <c r="I208" s="48"/>
      <c r="J208" s="48"/>
      <c r="K208" s="48"/>
      <c r="L208" s="48"/>
      <c r="M208" s="49"/>
      <c r="N208" s="49"/>
      <c r="O208" s="49"/>
      <c r="P208" s="49"/>
      <c r="Q208" s="49"/>
      <c r="R208" s="49"/>
      <c r="S208" s="49"/>
      <c r="T208" s="49"/>
      <c r="U208" s="49"/>
      <c r="V208" s="41"/>
      <c r="W208" s="115"/>
      <c r="X208" s="115">
        <v>4600000</v>
      </c>
      <c r="Y208" s="115"/>
      <c r="Z208" s="115"/>
      <c r="AA208" s="115"/>
      <c r="AB208" s="115"/>
      <c r="AC208" s="113">
        <f t="shared" si="4"/>
        <v>4600000</v>
      </c>
      <c r="AD208" s="108"/>
    </row>
    <row r="209" spans="1:30" ht="14.25" thickBot="1" thickTop="1">
      <c r="A209" s="38">
        <v>35958</v>
      </c>
      <c r="B209" s="39" t="s">
        <v>877</v>
      </c>
      <c r="C209" s="40" t="s">
        <v>68</v>
      </c>
      <c r="D209" s="40" t="s">
        <v>884</v>
      </c>
      <c r="E209" s="48"/>
      <c r="F209" s="48"/>
      <c r="G209" s="48"/>
      <c r="H209" s="48">
        <v>10543</v>
      </c>
      <c r="I209" s="48"/>
      <c r="J209" s="48"/>
      <c r="K209" s="48"/>
      <c r="L209" s="48"/>
      <c r="M209" s="49"/>
      <c r="N209" s="49"/>
      <c r="O209" s="49"/>
      <c r="P209" s="49"/>
      <c r="Q209" s="49"/>
      <c r="R209" s="49"/>
      <c r="S209" s="49"/>
      <c r="T209" s="49"/>
      <c r="U209" s="49"/>
      <c r="V209" s="41"/>
      <c r="W209" s="115"/>
      <c r="X209" s="115">
        <v>11500000</v>
      </c>
      <c r="Y209" s="115"/>
      <c r="Z209" s="115"/>
      <c r="AA209" s="115"/>
      <c r="AB209" s="115"/>
      <c r="AC209" s="113">
        <f t="shared" si="4"/>
        <v>11500000</v>
      </c>
      <c r="AD209" s="108" t="s">
        <v>460</v>
      </c>
    </row>
    <row r="210" spans="1:30" ht="14.25" thickBot="1" thickTop="1">
      <c r="A210" s="38">
        <v>35977</v>
      </c>
      <c r="B210" s="39" t="s">
        <v>877</v>
      </c>
      <c r="C210" s="40" t="s">
        <v>68</v>
      </c>
      <c r="D210" s="40" t="s">
        <v>821</v>
      </c>
      <c r="E210" s="48"/>
      <c r="F210" s="48"/>
      <c r="G210" s="48"/>
      <c r="H210" s="48">
        <v>10543</v>
      </c>
      <c r="I210" s="48">
        <v>13085</v>
      </c>
      <c r="J210" s="48">
        <v>13085</v>
      </c>
      <c r="K210" s="48">
        <v>2617</v>
      </c>
      <c r="L210" s="48"/>
      <c r="M210" s="49"/>
      <c r="N210" s="49"/>
      <c r="O210" s="49"/>
      <c r="P210" s="49"/>
      <c r="Q210" s="49"/>
      <c r="R210" s="49"/>
      <c r="S210" s="49"/>
      <c r="T210" s="49"/>
      <c r="U210" s="49"/>
      <c r="V210" s="41"/>
      <c r="W210" s="115">
        <v>16862880</v>
      </c>
      <c r="X210" s="115">
        <v>2576000</v>
      </c>
      <c r="Y210" s="115"/>
      <c r="Z210" s="115">
        <v>2644800</v>
      </c>
      <c r="AA210" s="115"/>
      <c r="AB210" s="115"/>
      <c r="AC210" s="113">
        <f t="shared" si="4"/>
        <v>22083680</v>
      </c>
      <c r="AD210" s="108"/>
    </row>
    <row r="211" spans="1:30" ht="34.5" thickBot="1" thickTop="1">
      <c r="A211" s="38">
        <v>35941</v>
      </c>
      <c r="B211" s="39" t="s">
        <v>877</v>
      </c>
      <c r="C211" s="40" t="s">
        <v>285</v>
      </c>
      <c r="D211" s="40" t="s">
        <v>821</v>
      </c>
      <c r="E211" s="48">
        <v>1</v>
      </c>
      <c r="F211" s="48"/>
      <c r="G211" s="48"/>
      <c r="H211" s="48">
        <v>9685</v>
      </c>
      <c r="I211" s="48">
        <v>390</v>
      </c>
      <c r="J211" s="48">
        <v>0</v>
      </c>
      <c r="K211" s="48">
        <v>78</v>
      </c>
      <c r="L211" s="48"/>
      <c r="M211" s="49"/>
      <c r="N211" s="49"/>
      <c r="O211" s="49"/>
      <c r="P211" s="49">
        <v>2</v>
      </c>
      <c r="Q211" s="49"/>
      <c r="R211" s="49"/>
      <c r="S211" s="49"/>
      <c r="T211" s="49"/>
      <c r="U211" s="49"/>
      <c r="V211" s="41"/>
      <c r="W211" s="115"/>
      <c r="X211" s="115"/>
      <c r="Y211" s="115"/>
      <c r="Z211" s="115"/>
      <c r="AA211" s="115"/>
      <c r="AB211" s="115"/>
      <c r="AC211" s="113">
        <f t="shared" si="4"/>
        <v>0</v>
      </c>
      <c r="AD211" s="108" t="s">
        <v>286</v>
      </c>
    </row>
    <row r="212" spans="1:30" ht="14.25" thickBot="1" thickTop="1">
      <c r="A212" s="38">
        <v>35982</v>
      </c>
      <c r="B212" s="39" t="s">
        <v>877</v>
      </c>
      <c r="C212" s="40" t="s">
        <v>529</v>
      </c>
      <c r="D212" s="40" t="s">
        <v>821</v>
      </c>
      <c r="E212" s="48"/>
      <c r="F212" s="48"/>
      <c r="G212" s="48"/>
      <c r="H212" s="48">
        <v>9685</v>
      </c>
      <c r="I212" s="48">
        <v>165</v>
      </c>
      <c r="J212" s="48">
        <v>165</v>
      </c>
      <c r="K212" s="48">
        <v>33</v>
      </c>
      <c r="L212" s="48"/>
      <c r="M212" s="49"/>
      <c r="N212" s="49"/>
      <c r="O212" s="49"/>
      <c r="P212" s="49"/>
      <c r="Q212" s="49"/>
      <c r="R212" s="49"/>
      <c r="S212" s="49"/>
      <c r="T212" s="49"/>
      <c r="U212" s="49"/>
      <c r="V212" s="41"/>
      <c r="W212" s="115"/>
      <c r="X212" s="115">
        <v>460000</v>
      </c>
      <c r="Y212" s="115"/>
      <c r="Z212" s="115"/>
      <c r="AA212" s="115"/>
      <c r="AB212" s="115"/>
      <c r="AC212" s="113">
        <f t="shared" si="4"/>
        <v>460000</v>
      </c>
      <c r="AD212" s="108"/>
    </row>
    <row r="213" spans="1:30" ht="14.25" thickBot="1" thickTop="1">
      <c r="A213" s="38">
        <v>35977</v>
      </c>
      <c r="B213" s="39" t="s">
        <v>877</v>
      </c>
      <c r="C213" s="40" t="s">
        <v>519</v>
      </c>
      <c r="D213" s="40" t="s">
        <v>821</v>
      </c>
      <c r="E213" s="48"/>
      <c r="F213" s="48"/>
      <c r="G213" s="48"/>
      <c r="H213" s="48">
        <v>11343</v>
      </c>
      <c r="I213" s="48">
        <v>400</v>
      </c>
      <c r="J213" s="48">
        <v>400</v>
      </c>
      <c r="K213" s="48">
        <v>80</v>
      </c>
      <c r="L213" s="48"/>
      <c r="M213" s="49"/>
      <c r="N213" s="49"/>
      <c r="O213" s="49"/>
      <c r="P213" s="49"/>
      <c r="Q213" s="49"/>
      <c r="R213" s="49"/>
      <c r="S213" s="49"/>
      <c r="T213" s="49"/>
      <c r="U213" s="49"/>
      <c r="V213" s="41"/>
      <c r="W213" s="115"/>
      <c r="X213" s="115">
        <v>1564000</v>
      </c>
      <c r="Y213" s="115"/>
      <c r="Z213" s="115"/>
      <c r="AA213" s="115"/>
      <c r="AB213" s="115"/>
      <c r="AC213" s="113">
        <f t="shared" si="4"/>
        <v>1564000</v>
      </c>
      <c r="AD213" s="108"/>
    </row>
    <row r="214" spans="1:30" ht="42.75" thickBot="1" thickTop="1">
      <c r="A214" s="38">
        <v>36035</v>
      </c>
      <c r="B214" s="39" t="s">
        <v>877</v>
      </c>
      <c r="C214" s="40" t="s">
        <v>519</v>
      </c>
      <c r="D214" s="40" t="s">
        <v>821</v>
      </c>
      <c r="E214" s="48"/>
      <c r="F214" s="48"/>
      <c r="G214" s="48"/>
      <c r="H214" s="48">
        <v>11343</v>
      </c>
      <c r="I214" s="48">
        <v>2019</v>
      </c>
      <c r="J214" s="48">
        <v>2019</v>
      </c>
      <c r="K214" s="48">
        <v>427</v>
      </c>
      <c r="L214" s="48">
        <v>38</v>
      </c>
      <c r="M214" s="49">
        <v>389</v>
      </c>
      <c r="N214" s="49"/>
      <c r="O214" s="49"/>
      <c r="P214" s="49"/>
      <c r="Q214" s="49"/>
      <c r="R214" s="49"/>
      <c r="S214" s="49"/>
      <c r="T214" s="49">
        <v>2</v>
      </c>
      <c r="U214" s="49"/>
      <c r="V214" s="41"/>
      <c r="W214" s="115">
        <v>2563712.16</v>
      </c>
      <c r="X214" s="115">
        <v>9890000</v>
      </c>
      <c r="Y214" s="115">
        <v>10266000</v>
      </c>
      <c r="Z214" s="115">
        <v>881600</v>
      </c>
      <c r="AA214" s="115"/>
      <c r="AB214" s="115"/>
      <c r="AC214" s="113">
        <f t="shared" si="4"/>
        <v>23601312.16</v>
      </c>
      <c r="AD214" s="108" t="s">
        <v>648</v>
      </c>
    </row>
    <row r="215" spans="1:30" ht="14.25" thickBot="1" thickTop="1">
      <c r="A215" s="38">
        <v>35885</v>
      </c>
      <c r="B215" s="39" t="s">
        <v>877</v>
      </c>
      <c r="C215" s="40" t="s">
        <v>67</v>
      </c>
      <c r="D215" s="40" t="s">
        <v>911</v>
      </c>
      <c r="E215" s="48"/>
      <c r="F215" s="48"/>
      <c r="G215" s="48"/>
      <c r="H215" s="48">
        <v>17686</v>
      </c>
      <c r="I215" s="48"/>
      <c r="J215" s="48"/>
      <c r="K215" s="48"/>
      <c r="L215" s="48"/>
      <c r="M215" s="49"/>
      <c r="N215" s="49"/>
      <c r="O215" s="49"/>
      <c r="P215" s="49"/>
      <c r="Q215" s="49"/>
      <c r="R215" s="49"/>
      <c r="S215" s="49"/>
      <c r="T215" s="49"/>
      <c r="U215" s="49"/>
      <c r="V215" s="41"/>
      <c r="W215" s="115" t="s">
        <v>561</v>
      </c>
      <c r="X215" s="115">
        <v>11500000</v>
      </c>
      <c r="Y215" s="115" t="s">
        <v>561</v>
      </c>
      <c r="Z215" s="115" t="s">
        <v>561</v>
      </c>
      <c r="AA215" s="115" t="s">
        <v>561</v>
      </c>
      <c r="AB215" s="115" t="s">
        <v>561</v>
      </c>
      <c r="AC215" s="113">
        <f>+X215</f>
        <v>11500000</v>
      </c>
      <c r="AD215" s="108"/>
    </row>
    <row r="216" spans="1:30" ht="14.25" thickBot="1" thickTop="1">
      <c r="A216" s="38">
        <v>35982</v>
      </c>
      <c r="B216" s="39" t="s">
        <v>877</v>
      </c>
      <c r="C216" s="40" t="s">
        <v>530</v>
      </c>
      <c r="D216" s="40" t="s">
        <v>821</v>
      </c>
      <c r="E216" s="48"/>
      <c r="F216" s="48"/>
      <c r="G216" s="48"/>
      <c r="H216" s="48">
        <v>44097</v>
      </c>
      <c r="I216" s="48">
        <v>140</v>
      </c>
      <c r="J216" s="48">
        <v>140</v>
      </c>
      <c r="K216" s="48">
        <v>28</v>
      </c>
      <c r="L216" s="48"/>
      <c r="M216" s="49"/>
      <c r="N216" s="49"/>
      <c r="O216" s="49"/>
      <c r="P216" s="49"/>
      <c r="Q216" s="49"/>
      <c r="R216" s="49"/>
      <c r="S216" s="49"/>
      <c r="T216" s="49"/>
      <c r="U216" s="49"/>
      <c r="V216" s="41"/>
      <c r="W216" s="115"/>
      <c r="X216" s="115">
        <v>345000</v>
      </c>
      <c r="Y216" s="115"/>
      <c r="Z216" s="115"/>
      <c r="AA216" s="115"/>
      <c r="AB216" s="115"/>
      <c r="AC216" s="113">
        <f aca="true" t="shared" si="5" ref="AC216:AC235">+W216+X216+Y216+Z216+AA216+AB216</f>
        <v>345000</v>
      </c>
      <c r="AD216" s="108"/>
    </row>
    <row r="217" spans="1:30" ht="14.25" thickBot="1" thickTop="1">
      <c r="A217" s="38">
        <v>35999</v>
      </c>
      <c r="B217" s="39" t="s">
        <v>877</v>
      </c>
      <c r="C217" s="40" t="s">
        <v>530</v>
      </c>
      <c r="D217" s="40" t="s">
        <v>821</v>
      </c>
      <c r="E217" s="48"/>
      <c r="F217" s="48"/>
      <c r="G217" s="48"/>
      <c r="H217" s="48">
        <v>44097</v>
      </c>
      <c r="I217" s="48">
        <f>347+469</f>
        <v>816</v>
      </c>
      <c r="J217" s="48">
        <f>347+469</f>
        <v>816</v>
      </c>
      <c r="K217" s="48">
        <f>53+89</f>
        <v>142</v>
      </c>
      <c r="L217" s="48"/>
      <c r="M217" s="49">
        <v>5</v>
      </c>
      <c r="N217" s="49"/>
      <c r="O217" s="49"/>
      <c r="P217" s="49"/>
      <c r="Q217" s="49"/>
      <c r="R217" s="49"/>
      <c r="S217" s="49"/>
      <c r="T217" s="49">
        <v>1</v>
      </c>
      <c r="U217" s="49"/>
      <c r="V217" s="41"/>
      <c r="W217" s="115">
        <v>17940758.54</v>
      </c>
      <c r="X217" s="115"/>
      <c r="Y217" s="115"/>
      <c r="Z217" s="115"/>
      <c r="AA217" s="115"/>
      <c r="AB217" s="115"/>
      <c r="AC217" s="113">
        <f t="shared" si="5"/>
        <v>17940758.54</v>
      </c>
      <c r="AD217" s="108" t="s">
        <v>664</v>
      </c>
    </row>
    <row r="218" spans="1:30" ht="14.25" thickBot="1" thickTop="1">
      <c r="A218" s="38">
        <v>35982</v>
      </c>
      <c r="B218" s="39" t="s">
        <v>877</v>
      </c>
      <c r="C218" s="40" t="s">
        <v>527</v>
      </c>
      <c r="D218" s="40" t="s">
        <v>821</v>
      </c>
      <c r="E218" s="48"/>
      <c r="F218" s="48"/>
      <c r="G218" s="48"/>
      <c r="H218" s="48">
        <v>272952</v>
      </c>
      <c r="I218" s="48">
        <v>490</v>
      </c>
      <c r="J218" s="48">
        <v>490</v>
      </c>
      <c r="K218" s="48">
        <v>98</v>
      </c>
      <c r="L218" s="48"/>
      <c r="M218" s="49"/>
      <c r="N218" s="49"/>
      <c r="O218" s="49"/>
      <c r="P218" s="49"/>
      <c r="Q218" s="49"/>
      <c r="R218" s="49"/>
      <c r="S218" s="49"/>
      <c r="T218" s="49"/>
      <c r="U218" s="49"/>
      <c r="V218" s="41"/>
      <c r="W218" s="115"/>
      <c r="X218" s="115">
        <v>1955000</v>
      </c>
      <c r="Y218" s="115"/>
      <c r="Z218" s="115"/>
      <c r="AA218" s="115"/>
      <c r="AB218" s="115"/>
      <c r="AC218" s="113">
        <f t="shared" si="5"/>
        <v>1955000</v>
      </c>
      <c r="AD218" s="108"/>
    </row>
    <row r="219" spans="1:30" ht="14.25" thickBot="1" thickTop="1">
      <c r="A219" s="38">
        <v>35982</v>
      </c>
      <c r="B219" s="39" t="s">
        <v>877</v>
      </c>
      <c r="C219" s="40" t="s">
        <v>532</v>
      </c>
      <c r="D219" s="40" t="s">
        <v>821</v>
      </c>
      <c r="E219" s="48"/>
      <c r="F219" s="48"/>
      <c r="G219" s="48"/>
      <c r="H219" s="48">
        <v>21936</v>
      </c>
      <c r="I219" s="48">
        <v>450</v>
      </c>
      <c r="J219" s="48">
        <v>450</v>
      </c>
      <c r="K219" s="48">
        <v>90</v>
      </c>
      <c r="L219" s="48"/>
      <c r="M219" s="49"/>
      <c r="N219" s="49"/>
      <c r="O219" s="49"/>
      <c r="P219" s="49"/>
      <c r="Q219" s="49"/>
      <c r="R219" s="49"/>
      <c r="S219" s="49"/>
      <c r="T219" s="49"/>
      <c r="U219" s="49"/>
      <c r="V219" s="41"/>
      <c r="W219" s="115"/>
      <c r="X219" s="115">
        <v>1794000</v>
      </c>
      <c r="Y219" s="115"/>
      <c r="Z219" s="115"/>
      <c r="AA219" s="115"/>
      <c r="AB219" s="115"/>
      <c r="AC219" s="113">
        <f t="shared" si="5"/>
        <v>1794000</v>
      </c>
      <c r="AD219" s="108"/>
    </row>
    <row r="220" spans="1:30" ht="24" thickBot="1" thickTop="1">
      <c r="A220" s="38">
        <v>35982</v>
      </c>
      <c r="B220" s="39" t="s">
        <v>877</v>
      </c>
      <c r="C220" s="40" t="s">
        <v>279</v>
      </c>
      <c r="D220" s="40" t="s">
        <v>821</v>
      </c>
      <c r="E220" s="48"/>
      <c r="F220" s="48"/>
      <c r="G220" s="48"/>
      <c r="H220" s="48">
        <v>16207</v>
      </c>
      <c r="I220" s="48">
        <v>120</v>
      </c>
      <c r="J220" s="48">
        <v>120</v>
      </c>
      <c r="K220" s="48">
        <v>24</v>
      </c>
      <c r="L220" s="48"/>
      <c r="M220" s="49"/>
      <c r="N220" s="49"/>
      <c r="O220" s="49"/>
      <c r="P220" s="49"/>
      <c r="Q220" s="49"/>
      <c r="R220" s="49"/>
      <c r="S220" s="49"/>
      <c r="T220" s="49"/>
      <c r="U220" s="49"/>
      <c r="V220" s="41"/>
      <c r="W220" s="115"/>
      <c r="X220" s="115">
        <v>322000</v>
      </c>
      <c r="Y220" s="115"/>
      <c r="Z220" s="115"/>
      <c r="AA220" s="115"/>
      <c r="AB220" s="115"/>
      <c r="AC220" s="113">
        <f t="shared" si="5"/>
        <v>322000</v>
      </c>
      <c r="AD220" s="108"/>
    </row>
    <row r="221" spans="1:30" ht="18" thickBot="1" thickTop="1">
      <c r="A221" s="38">
        <v>35989</v>
      </c>
      <c r="B221" s="39" t="s">
        <v>877</v>
      </c>
      <c r="C221" s="40" t="s">
        <v>522</v>
      </c>
      <c r="D221" s="40" t="s">
        <v>821</v>
      </c>
      <c r="E221" s="48"/>
      <c r="F221" s="48"/>
      <c r="G221" s="48"/>
      <c r="H221" s="48">
        <v>24555</v>
      </c>
      <c r="I221" s="48">
        <v>350</v>
      </c>
      <c r="J221" s="48">
        <v>350</v>
      </c>
      <c r="K221" s="48">
        <v>70</v>
      </c>
      <c r="L221" s="48"/>
      <c r="M221" s="49"/>
      <c r="N221" s="49">
        <v>2</v>
      </c>
      <c r="O221" s="49"/>
      <c r="P221" s="49"/>
      <c r="Q221" s="49"/>
      <c r="R221" s="49"/>
      <c r="S221" s="49"/>
      <c r="T221" s="49"/>
      <c r="U221" s="49"/>
      <c r="V221" s="41" t="s">
        <v>524</v>
      </c>
      <c r="W221" s="115">
        <v>2856588</v>
      </c>
      <c r="X221" s="115">
        <v>1334000</v>
      </c>
      <c r="Y221" s="115"/>
      <c r="Z221" s="115"/>
      <c r="AA221" s="115"/>
      <c r="AB221" s="115"/>
      <c r="AC221" s="113">
        <f t="shared" si="5"/>
        <v>4190588</v>
      </c>
      <c r="AD221" s="108" t="s">
        <v>523</v>
      </c>
    </row>
    <row r="222" spans="1:30" ht="14.25" thickBot="1" thickTop="1">
      <c r="A222" s="38">
        <v>35977</v>
      </c>
      <c r="B222" s="39" t="s">
        <v>877</v>
      </c>
      <c r="C222" s="40" t="s">
        <v>517</v>
      </c>
      <c r="D222" s="40" t="s">
        <v>821</v>
      </c>
      <c r="E222" s="48"/>
      <c r="F222" s="48"/>
      <c r="G222" s="48"/>
      <c r="H222" s="48">
        <v>31746</v>
      </c>
      <c r="I222" s="48">
        <v>700</v>
      </c>
      <c r="J222" s="48">
        <v>700</v>
      </c>
      <c r="K222" s="48">
        <v>140</v>
      </c>
      <c r="L222" s="48"/>
      <c r="M222" s="49"/>
      <c r="N222" s="49"/>
      <c r="O222" s="49"/>
      <c r="P222" s="49"/>
      <c r="Q222" s="49"/>
      <c r="R222" s="49"/>
      <c r="S222" s="49"/>
      <c r="T222" s="49"/>
      <c r="U222" s="49"/>
      <c r="V222" s="41"/>
      <c r="W222" s="115"/>
      <c r="X222" s="115">
        <v>2875000</v>
      </c>
      <c r="Y222" s="115"/>
      <c r="Z222" s="115"/>
      <c r="AA222" s="115"/>
      <c r="AB222" s="115"/>
      <c r="AC222" s="113">
        <f t="shared" si="5"/>
        <v>2875000</v>
      </c>
      <c r="AD222" s="108"/>
    </row>
    <row r="223" spans="1:30" ht="14.25" thickBot="1" thickTop="1">
      <c r="A223" s="38">
        <v>35937</v>
      </c>
      <c r="B223" s="39" t="s">
        <v>877</v>
      </c>
      <c r="C223" s="40" t="s">
        <v>283</v>
      </c>
      <c r="D223" s="40" t="s">
        <v>36</v>
      </c>
      <c r="E223" s="48">
        <v>2</v>
      </c>
      <c r="F223" s="48"/>
      <c r="G223" s="48"/>
      <c r="H223" s="48">
        <v>48666</v>
      </c>
      <c r="I223" s="48">
        <v>32</v>
      </c>
      <c r="J223" s="48">
        <v>0</v>
      </c>
      <c r="K223" s="48"/>
      <c r="L223" s="48"/>
      <c r="M223" s="49"/>
      <c r="N223" s="49"/>
      <c r="O223" s="49"/>
      <c r="P223" s="49"/>
      <c r="Q223" s="49"/>
      <c r="R223" s="49"/>
      <c r="S223" s="49"/>
      <c r="T223" s="49"/>
      <c r="U223" s="49"/>
      <c r="V223" s="41"/>
      <c r="W223" s="115"/>
      <c r="X223" s="115"/>
      <c r="Y223" s="115"/>
      <c r="Z223" s="115"/>
      <c r="AA223" s="115"/>
      <c r="AB223" s="115"/>
      <c r="AC223" s="113">
        <f t="shared" si="5"/>
        <v>0</v>
      </c>
      <c r="AD223" s="108" t="s">
        <v>284</v>
      </c>
    </row>
    <row r="224" spans="1:30" ht="24" thickBot="1" thickTop="1">
      <c r="A224" s="38">
        <v>35893</v>
      </c>
      <c r="B224" s="39" t="s">
        <v>877</v>
      </c>
      <c r="C224" s="40" t="s">
        <v>140</v>
      </c>
      <c r="D224" s="40" t="s">
        <v>891</v>
      </c>
      <c r="E224" s="48"/>
      <c r="F224" s="48"/>
      <c r="G224" s="48"/>
      <c r="H224" s="48">
        <v>48666</v>
      </c>
      <c r="I224" s="48"/>
      <c r="J224" s="48"/>
      <c r="K224" s="48"/>
      <c r="L224" s="48"/>
      <c r="M224" s="49"/>
      <c r="N224" s="49"/>
      <c r="O224" s="49"/>
      <c r="P224" s="49"/>
      <c r="Q224" s="49"/>
      <c r="R224" s="49"/>
      <c r="S224" s="49"/>
      <c r="T224" s="49"/>
      <c r="U224" s="49"/>
      <c r="V224" s="41"/>
      <c r="W224" s="115"/>
      <c r="X224" s="115">
        <v>3450000</v>
      </c>
      <c r="Y224" s="115"/>
      <c r="Z224" s="115"/>
      <c r="AA224" s="115"/>
      <c r="AB224" s="115"/>
      <c r="AC224" s="113">
        <f t="shared" si="5"/>
        <v>3450000</v>
      </c>
      <c r="AD224" s="108" t="s">
        <v>141</v>
      </c>
    </row>
    <row r="225" spans="1:30" ht="14.25" thickBot="1" thickTop="1">
      <c r="A225" s="38">
        <v>35982</v>
      </c>
      <c r="B225" s="39" t="s">
        <v>877</v>
      </c>
      <c r="C225" s="40" t="s">
        <v>525</v>
      </c>
      <c r="D225" s="40" t="s">
        <v>821</v>
      </c>
      <c r="E225" s="48"/>
      <c r="F225" s="48"/>
      <c r="G225" s="48"/>
      <c r="H225" s="48">
        <v>23257</v>
      </c>
      <c r="I225" s="48">
        <v>135</v>
      </c>
      <c r="J225" s="48">
        <v>0</v>
      </c>
      <c r="K225" s="48">
        <v>27</v>
      </c>
      <c r="L225" s="48"/>
      <c r="M225" s="49"/>
      <c r="N225" s="49"/>
      <c r="O225" s="49"/>
      <c r="P225" s="49"/>
      <c r="Q225" s="49"/>
      <c r="R225" s="49"/>
      <c r="S225" s="49"/>
      <c r="T225" s="49"/>
      <c r="U225" s="49"/>
      <c r="V225" s="41"/>
      <c r="W225" s="115"/>
      <c r="X225" s="115"/>
      <c r="Y225" s="115"/>
      <c r="Z225" s="115"/>
      <c r="AA225" s="115"/>
      <c r="AB225" s="115"/>
      <c r="AC225" s="113">
        <f t="shared" si="5"/>
        <v>0</v>
      </c>
      <c r="AD225" s="108" t="s">
        <v>526</v>
      </c>
    </row>
    <row r="226" spans="1:30" ht="14.25" thickBot="1" thickTop="1">
      <c r="A226" s="38">
        <v>35977</v>
      </c>
      <c r="B226" s="39" t="s">
        <v>877</v>
      </c>
      <c r="C226" s="40" t="s">
        <v>875</v>
      </c>
      <c r="D226" s="40" t="s">
        <v>821</v>
      </c>
      <c r="E226" s="48"/>
      <c r="F226" s="48"/>
      <c r="G226" s="48"/>
      <c r="H226" s="48"/>
      <c r="I226" s="48"/>
      <c r="J226" s="48"/>
      <c r="K226" s="48"/>
      <c r="L226" s="48"/>
      <c r="M226" s="49"/>
      <c r="N226" s="49"/>
      <c r="O226" s="49"/>
      <c r="P226" s="49"/>
      <c r="Q226" s="49"/>
      <c r="R226" s="49"/>
      <c r="S226" s="49"/>
      <c r="T226" s="49"/>
      <c r="U226" s="49"/>
      <c r="V226" s="41"/>
      <c r="W226" s="115"/>
      <c r="X226" s="115"/>
      <c r="Y226" s="115"/>
      <c r="Z226" s="115">
        <v>18205040</v>
      </c>
      <c r="AA226" s="115"/>
      <c r="AB226" s="115"/>
      <c r="AC226" s="113">
        <f t="shared" si="5"/>
        <v>18205040</v>
      </c>
      <c r="AD226" s="108" t="s">
        <v>518</v>
      </c>
    </row>
    <row r="227" spans="1:30" ht="34.5" thickBot="1" thickTop="1">
      <c r="A227" s="38">
        <v>35977</v>
      </c>
      <c r="B227" s="39" t="s">
        <v>877</v>
      </c>
      <c r="C227" s="40" t="s">
        <v>875</v>
      </c>
      <c r="D227" s="40" t="s">
        <v>821</v>
      </c>
      <c r="E227" s="48"/>
      <c r="F227" s="48"/>
      <c r="G227" s="48"/>
      <c r="H227" s="48"/>
      <c r="I227" s="48"/>
      <c r="J227" s="48"/>
      <c r="K227" s="48"/>
      <c r="L227" s="48"/>
      <c r="M227" s="49"/>
      <c r="N227" s="49"/>
      <c r="O227" s="49"/>
      <c r="P227" s="49"/>
      <c r="Q227" s="49"/>
      <c r="R227" s="49"/>
      <c r="S227" s="49"/>
      <c r="T227" s="49"/>
      <c r="U227" s="49"/>
      <c r="V227" s="41"/>
      <c r="W227" s="115"/>
      <c r="X227" s="115"/>
      <c r="Y227" s="115"/>
      <c r="Z227" s="115">
        <v>8110720</v>
      </c>
      <c r="AA227" s="115"/>
      <c r="AB227" s="115"/>
      <c r="AC227" s="113">
        <f t="shared" si="5"/>
        <v>8110720</v>
      </c>
      <c r="AD227" s="108" t="s">
        <v>647</v>
      </c>
    </row>
    <row r="228" spans="1:30" ht="14.25" thickBot="1" thickTop="1">
      <c r="A228" s="38">
        <v>36153</v>
      </c>
      <c r="B228" s="39" t="s">
        <v>877</v>
      </c>
      <c r="C228" s="40" t="s">
        <v>875</v>
      </c>
      <c r="D228" s="40" t="s">
        <v>821</v>
      </c>
      <c r="E228" s="48"/>
      <c r="F228" s="48"/>
      <c r="G228" s="48"/>
      <c r="H228" s="48"/>
      <c r="I228" s="48"/>
      <c r="J228" s="48"/>
      <c r="K228" s="48"/>
      <c r="L228" s="48"/>
      <c r="M228" s="49"/>
      <c r="N228" s="49"/>
      <c r="O228" s="49"/>
      <c r="P228" s="49"/>
      <c r="Q228" s="49"/>
      <c r="R228" s="49"/>
      <c r="S228" s="49"/>
      <c r="T228" s="49"/>
      <c r="U228" s="49"/>
      <c r="V228" s="41"/>
      <c r="W228" s="115"/>
      <c r="X228" s="115"/>
      <c r="Y228" s="115"/>
      <c r="Z228" s="115">
        <v>2997440</v>
      </c>
      <c r="AA228" s="115"/>
      <c r="AB228" s="115"/>
      <c r="AC228" s="113">
        <f t="shared" si="5"/>
        <v>2997440</v>
      </c>
      <c r="AD228" s="108"/>
    </row>
    <row r="229" spans="1:30" ht="14.25" thickBot="1" thickTop="1">
      <c r="A229" s="38">
        <v>36131</v>
      </c>
      <c r="B229" s="39" t="s">
        <v>16</v>
      </c>
      <c r="C229" s="40" t="s">
        <v>19</v>
      </c>
      <c r="D229" s="40" t="s">
        <v>821</v>
      </c>
      <c r="E229" s="48"/>
      <c r="F229" s="48"/>
      <c r="G229" s="48"/>
      <c r="H229" s="48">
        <v>10566</v>
      </c>
      <c r="I229" s="48">
        <f>40*5</f>
        <v>200</v>
      </c>
      <c r="J229" s="48">
        <f>40*5</f>
        <v>200</v>
      </c>
      <c r="K229" s="48">
        <v>40</v>
      </c>
      <c r="L229" s="48">
        <v>5</v>
      </c>
      <c r="M229" s="49">
        <v>40</v>
      </c>
      <c r="N229" s="49"/>
      <c r="O229" s="49"/>
      <c r="P229" s="49"/>
      <c r="Q229" s="49">
        <v>1</v>
      </c>
      <c r="R229" s="49">
        <v>1</v>
      </c>
      <c r="S229" s="49"/>
      <c r="T229" s="49"/>
      <c r="U229" s="49">
        <v>1</v>
      </c>
      <c r="V229" s="41"/>
      <c r="W229" s="115">
        <v>5555013.9</v>
      </c>
      <c r="X229" s="115">
        <v>648960</v>
      </c>
      <c r="Y229" s="115"/>
      <c r="Z229" s="115"/>
      <c r="AA229" s="115"/>
      <c r="AB229" s="115"/>
      <c r="AC229" s="113">
        <f t="shared" si="5"/>
        <v>6203973.9</v>
      </c>
      <c r="AD229" s="108"/>
    </row>
    <row r="230" spans="1:30" ht="14.25" thickBot="1" thickTop="1">
      <c r="A230" s="38">
        <v>35903</v>
      </c>
      <c r="B230" s="39" t="s">
        <v>16</v>
      </c>
      <c r="C230" s="40" t="s">
        <v>144</v>
      </c>
      <c r="D230" s="40" t="s">
        <v>821</v>
      </c>
      <c r="E230" s="48"/>
      <c r="F230" s="48"/>
      <c r="G230" s="48"/>
      <c r="H230" s="48">
        <v>4456</v>
      </c>
      <c r="I230" s="48">
        <v>85</v>
      </c>
      <c r="J230" s="48">
        <v>85</v>
      </c>
      <c r="K230" s="48">
        <v>21</v>
      </c>
      <c r="L230" s="48">
        <v>4</v>
      </c>
      <c r="M230" s="49">
        <v>11</v>
      </c>
      <c r="N230" s="49"/>
      <c r="O230" s="49"/>
      <c r="P230" s="49"/>
      <c r="Q230" s="49"/>
      <c r="R230" s="49"/>
      <c r="S230" s="49"/>
      <c r="T230" s="49"/>
      <c r="U230" s="49"/>
      <c r="V230" s="41"/>
      <c r="W230" s="115">
        <v>2677068</v>
      </c>
      <c r="X230" s="115"/>
      <c r="Y230" s="115"/>
      <c r="Z230" s="115"/>
      <c r="AA230" s="115"/>
      <c r="AB230" s="115"/>
      <c r="AC230" s="113">
        <f t="shared" si="5"/>
        <v>2677068</v>
      </c>
      <c r="AD230" s="108" t="s">
        <v>145</v>
      </c>
    </row>
    <row r="231" spans="1:30" ht="24" thickBot="1" thickTop="1">
      <c r="A231" s="38">
        <v>35921</v>
      </c>
      <c r="B231" s="39" t="s">
        <v>16</v>
      </c>
      <c r="C231" s="40" t="s">
        <v>69</v>
      </c>
      <c r="D231" s="40" t="s">
        <v>821</v>
      </c>
      <c r="E231" s="48"/>
      <c r="F231" s="48"/>
      <c r="G231" s="48"/>
      <c r="H231" s="48">
        <v>11065</v>
      </c>
      <c r="I231" s="48">
        <v>400</v>
      </c>
      <c r="J231" s="48">
        <v>400</v>
      </c>
      <c r="K231" s="48">
        <v>80</v>
      </c>
      <c r="L231" s="48"/>
      <c r="M231" s="49"/>
      <c r="N231" s="49"/>
      <c r="O231" s="49"/>
      <c r="P231" s="49"/>
      <c r="Q231" s="49"/>
      <c r="R231" s="49"/>
      <c r="S231" s="49"/>
      <c r="T231" s="49"/>
      <c r="U231" s="49"/>
      <c r="V231" s="41"/>
      <c r="W231" s="115">
        <v>10229173</v>
      </c>
      <c r="X231" s="115"/>
      <c r="Y231" s="115"/>
      <c r="Z231" s="115"/>
      <c r="AA231" s="115"/>
      <c r="AB231" s="115"/>
      <c r="AC231" s="113">
        <f t="shared" si="5"/>
        <v>10229173</v>
      </c>
      <c r="AD231" s="108" t="s">
        <v>292</v>
      </c>
    </row>
    <row r="232" spans="1:30" ht="26.25" thickBot="1" thickTop="1">
      <c r="A232" s="38">
        <v>35918</v>
      </c>
      <c r="B232" s="39" t="s">
        <v>16</v>
      </c>
      <c r="C232" s="40" t="s">
        <v>288</v>
      </c>
      <c r="D232" s="40" t="s">
        <v>821</v>
      </c>
      <c r="E232" s="48"/>
      <c r="F232" s="48">
        <v>4</v>
      </c>
      <c r="G232" s="48"/>
      <c r="H232" s="48"/>
      <c r="I232" s="48">
        <v>192</v>
      </c>
      <c r="J232" s="48">
        <v>0</v>
      </c>
      <c r="K232" s="48">
        <v>38</v>
      </c>
      <c r="L232" s="48">
        <v>1</v>
      </c>
      <c r="M232" s="49">
        <v>10</v>
      </c>
      <c r="N232" s="49"/>
      <c r="O232" s="49"/>
      <c r="P232" s="49"/>
      <c r="Q232" s="49"/>
      <c r="R232" s="49"/>
      <c r="S232" s="49"/>
      <c r="T232" s="49"/>
      <c r="U232" s="49"/>
      <c r="V232" s="41"/>
      <c r="W232" s="115"/>
      <c r="X232" s="115"/>
      <c r="Y232" s="115"/>
      <c r="Z232" s="115"/>
      <c r="AA232" s="115"/>
      <c r="AB232" s="115"/>
      <c r="AC232" s="113">
        <f t="shared" si="5"/>
        <v>0</v>
      </c>
      <c r="AD232" s="108" t="s">
        <v>289</v>
      </c>
    </row>
    <row r="233" spans="1:30" ht="14.25" thickBot="1" thickTop="1">
      <c r="A233" s="38">
        <v>35903</v>
      </c>
      <c r="B233" s="39" t="s">
        <v>16</v>
      </c>
      <c r="C233" s="40" t="s">
        <v>142</v>
      </c>
      <c r="D233" s="40" t="s">
        <v>821</v>
      </c>
      <c r="E233" s="48"/>
      <c r="F233" s="48"/>
      <c r="G233" s="48"/>
      <c r="H233" s="48">
        <v>69695</v>
      </c>
      <c r="I233" s="48">
        <v>93</v>
      </c>
      <c r="J233" s="48">
        <v>0</v>
      </c>
      <c r="K233" s="48">
        <v>19</v>
      </c>
      <c r="L233" s="48"/>
      <c r="M233" s="49">
        <v>3</v>
      </c>
      <c r="N233" s="49"/>
      <c r="O233" s="49"/>
      <c r="P233" s="49"/>
      <c r="Q233" s="49"/>
      <c r="R233" s="49"/>
      <c r="S233" s="49"/>
      <c r="T233" s="49"/>
      <c r="U233" s="49"/>
      <c r="V233" s="41"/>
      <c r="W233" s="115"/>
      <c r="X233" s="115"/>
      <c r="Y233" s="115"/>
      <c r="Z233" s="115"/>
      <c r="AA233" s="115"/>
      <c r="AB233" s="115"/>
      <c r="AC233" s="113">
        <f t="shared" si="5"/>
        <v>0</v>
      </c>
      <c r="AD233" s="108" t="s">
        <v>143</v>
      </c>
    </row>
    <row r="234" spans="1:30" ht="14.25" thickBot="1" thickTop="1">
      <c r="A234" s="38">
        <v>35927</v>
      </c>
      <c r="B234" s="39" t="s">
        <v>16</v>
      </c>
      <c r="C234" s="40" t="s">
        <v>142</v>
      </c>
      <c r="D234" s="40" t="s">
        <v>891</v>
      </c>
      <c r="E234" s="48"/>
      <c r="F234" s="48"/>
      <c r="G234" s="48"/>
      <c r="H234" s="48">
        <v>69695</v>
      </c>
      <c r="I234" s="48">
        <v>12</v>
      </c>
      <c r="J234" s="48">
        <v>0</v>
      </c>
      <c r="K234" s="48">
        <v>3</v>
      </c>
      <c r="L234" s="48"/>
      <c r="M234" s="49"/>
      <c r="N234" s="49"/>
      <c r="O234" s="49"/>
      <c r="P234" s="49"/>
      <c r="Q234" s="49"/>
      <c r="R234" s="49"/>
      <c r="S234" s="49"/>
      <c r="T234" s="49"/>
      <c r="U234" s="49"/>
      <c r="V234" s="41"/>
      <c r="W234" s="115"/>
      <c r="X234" s="115"/>
      <c r="Y234" s="115"/>
      <c r="Z234" s="115"/>
      <c r="AA234" s="115"/>
      <c r="AB234" s="115"/>
      <c r="AC234" s="113">
        <f t="shared" si="5"/>
        <v>0</v>
      </c>
      <c r="AD234" s="108"/>
    </row>
    <row r="235" spans="1:30" ht="24" thickBot="1" thickTop="1">
      <c r="A235" s="38">
        <v>36038</v>
      </c>
      <c r="B235" s="39" t="s">
        <v>658</v>
      </c>
      <c r="C235" s="40" t="s">
        <v>660</v>
      </c>
      <c r="D235" s="40" t="s">
        <v>821</v>
      </c>
      <c r="E235" s="48"/>
      <c r="F235" s="48"/>
      <c r="G235" s="48"/>
      <c r="H235" s="48"/>
      <c r="I235" s="48">
        <f>150*5</f>
        <v>750</v>
      </c>
      <c r="J235" s="48">
        <f>150*5</f>
        <v>750</v>
      </c>
      <c r="K235" s="48">
        <v>150</v>
      </c>
      <c r="L235" s="48"/>
      <c r="M235" s="49"/>
      <c r="N235" s="49"/>
      <c r="O235" s="49"/>
      <c r="P235" s="49"/>
      <c r="Q235" s="49"/>
      <c r="R235" s="49"/>
      <c r="S235" s="49"/>
      <c r="T235" s="49"/>
      <c r="U235" s="49"/>
      <c r="V235" s="41"/>
      <c r="W235" s="115">
        <v>16689531</v>
      </c>
      <c r="X235" s="115">
        <v>3450000</v>
      </c>
      <c r="Y235" s="115"/>
      <c r="Z235" s="115"/>
      <c r="AA235" s="115"/>
      <c r="AB235" s="115"/>
      <c r="AC235" s="113">
        <f t="shared" si="5"/>
        <v>20139531</v>
      </c>
      <c r="AD235" s="108"/>
    </row>
    <row r="236" spans="1:30" ht="14.25" thickBot="1" thickTop="1">
      <c r="A236" s="38">
        <v>36038</v>
      </c>
      <c r="B236" s="39" t="s">
        <v>658</v>
      </c>
      <c r="C236" s="40" t="s">
        <v>659</v>
      </c>
      <c r="D236" s="40" t="s">
        <v>821</v>
      </c>
      <c r="E236" s="48"/>
      <c r="F236" s="48"/>
      <c r="G236" s="48"/>
      <c r="H236" s="48"/>
      <c r="I236" s="48">
        <f>350*5</f>
        <v>1750</v>
      </c>
      <c r="J236" s="48">
        <f>350*5</f>
        <v>1750</v>
      </c>
      <c r="K236" s="48">
        <v>350</v>
      </c>
      <c r="L236" s="48"/>
      <c r="M236" s="49"/>
      <c r="N236" s="49"/>
      <c r="O236" s="49"/>
      <c r="P236" s="49"/>
      <c r="Q236" s="49"/>
      <c r="R236" s="49"/>
      <c r="S236" s="49"/>
      <c r="T236" s="49"/>
      <c r="U236" s="49"/>
      <c r="V236" s="41"/>
      <c r="W236" s="115">
        <v>54035842</v>
      </c>
      <c r="X236" s="115">
        <v>8050000</v>
      </c>
      <c r="Y236" s="115"/>
      <c r="Z236" s="115"/>
      <c r="AA236" s="115"/>
      <c r="AB236" s="115"/>
      <c r="AC236" s="113">
        <f aca="true" t="shared" si="6" ref="AC236:AC296">+W236+X236+Y236+Z236+AA236+AB236</f>
        <v>62085842</v>
      </c>
      <c r="AD236" s="108" t="s">
        <v>661</v>
      </c>
    </row>
    <row r="237" spans="1:30" ht="14.25" thickBot="1" thickTop="1">
      <c r="A237" s="38">
        <v>35988</v>
      </c>
      <c r="B237" s="39" t="s">
        <v>77</v>
      </c>
      <c r="C237" s="40" t="s">
        <v>537</v>
      </c>
      <c r="D237" s="40" t="s">
        <v>879</v>
      </c>
      <c r="E237" s="48"/>
      <c r="F237" s="48"/>
      <c r="G237" s="48"/>
      <c r="H237" s="48">
        <v>8323</v>
      </c>
      <c r="I237" s="48">
        <v>200</v>
      </c>
      <c r="J237" s="48">
        <v>0</v>
      </c>
      <c r="K237" s="48">
        <v>40</v>
      </c>
      <c r="L237" s="48">
        <v>40</v>
      </c>
      <c r="M237" s="49"/>
      <c r="N237" s="49"/>
      <c r="O237" s="49"/>
      <c r="P237" s="49"/>
      <c r="Q237" s="49"/>
      <c r="R237" s="49"/>
      <c r="S237" s="49"/>
      <c r="T237" s="49"/>
      <c r="U237" s="49"/>
      <c r="V237" s="41"/>
      <c r="W237" s="115"/>
      <c r="X237" s="115"/>
      <c r="Y237" s="115"/>
      <c r="Z237" s="115"/>
      <c r="AA237" s="115"/>
      <c r="AB237" s="115"/>
      <c r="AC237" s="113">
        <f t="shared" si="6"/>
        <v>0</v>
      </c>
      <c r="AD237" s="108" t="s">
        <v>538</v>
      </c>
    </row>
    <row r="238" spans="1:30" ht="26.25" thickBot="1" thickTop="1">
      <c r="A238" s="38">
        <v>35856</v>
      </c>
      <c r="B238" s="39" t="s">
        <v>77</v>
      </c>
      <c r="C238" s="40" t="s">
        <v>78</v>
      </c>
      <c r="D238" s="40" t="s">
        <v>911</v>
      </c>
      <c r="E238" s="48"/>
      <c r="F238" s="48"/>
      <c r="G238" s="48"/>
      <c r="H238" s="48">
        <v>29663</v>
      </c>
      <c r="I238" s="48">
        <v>1735</v>
      </c>
      <c r="J238" s="48">
        <v>1735</v>
      </c>
      <c r="K238" s="48">
        <v>347</v>
      </c>
      <c r="L238" s="48">
        <v>13</v>
      </c>
      <c r="M238" s="49">
        <v>150</v>
      </c>
      <c r="N238" s="49"/>
      <c r="O238" s="49"/>
      <c r="P238" s="49"/>
      <c r="Q238" s="49"/>
      <c r="R238" s="49"/>
      <c r="S238" s="49"/>
      <c r="T238" s="49">
        <v>19</v>
      </c>
      <c r="U238" s="49"/>
      <c r="V238" s="41" t="s">
        <v>79</v>
      </c>
      <c r="W238" s="115"/>
      <c r="X238" s="115">
        <v>11500000</v>
      </c>
      <c r="Y238" s="115">
        <v>6883440</v>
      </c>
      <c r="Z238" s="115"/>
      <c r="AA238" s="115"/>
      <c r="AB238" s="115"/>
      <c r="AC238" s="113">
        <f t="shared" si="6"/>
        <v>18383440</v>
      </c>
      <c r="AD238" s="108"/>
    </row>
    <row r="239" spans="1:30" ht="24" thickBot="1" thickTop="1">
      <c r="A239" s="38">
        <v>35985</v>
      </c>
      <c r="B239" s="39" t="s">
        <v>77</v>
      </c>
      <c r="C239" s="40" t="s">
        <v>535</v>
      </c>
      <c r="D239" s="40" t="s">
        <v>821</v>
      </c>
      <c r="E239" s="48"/>
      <c r="F239" s="48"/>
      <c r="G239" s="48"/>
      <c r="H239" s="48">
        <v>29663</v>
      </c>
      <c r="I239" s="48">
        <v>7500</v>
      </c>
      <c r="J239" s="48">
        <v>7500</v>
      </c>
      <c r="K239" s="48">
        <v>1500</v>
      </c>
      <c r="L239" s="48"/>
      <c r="M239" s="49"/>
      <c r="N239" s="49"/>
      <c r="O239" s="49"/>
      <c r="P239" s="49"/>
      <c r="Q239" s="49"/>
      <c r="R239" s="49"/>
      <c r="S239" s="49"/>
      <c r="T239" s="49"/>
      <c r="U239" s="49"/>
      <c r="V239" s="41"/>
      <c r="W239" s="115">
        <v>117740</v>
      </c>
      <c r="X239" s="115">
        <v>34500000</v>
      </c>
      <c r="Y239" s="115"/>
      <c r="Z239" s="115"/>
      <c r="AA239" s="115"/>
      <c r="AB239" s="115"/>
      <c r="AC239" s="113">
        <f t="shared" si="6"/>
        <v>34617740</v>
      </c>
      <c r="AD239" s="108" t="s">
        <v>536</v>
      </c>
    </row>
    <row r="240" spans="1:30" ht="14.25" thickBot="1" thickTop="1">
      <c r="A240" s="38">
        <v>35936</v>
      </c>
      <c r="B240" s="39" t="s">
        <v>77</v>
      </c>
      <c r="C240" s="40" t="s">
        <v>875</v>
      </c>
      <c r="D240" s="40" t="s">
        <v>821</v>
      </c>
      <c r="E240" s="48"/>
      <c r="F240" s="48"/>
      <c r="G240" s="48"/>
      <c r="H240" s="48"/>
      <c r="I240" s="48"/>
      <c r="J240" s="48"/>
      <c r="K240" s="48"/>
      <c r="L240" s="48"/>
      <c r="M240" s="49"/>
      <c r="N240" s="49"/>
      <c r="O240" s="49"/>
      <c r="P240" s="49"/>
      <c r="Q240" s="49"/>
      <c r="R240" s="49"/>
      <c r="S240" s="49"/>
      <c r="T240" s="49"/>
      <c r="U240" s="49"/>
      <c r="V240" s="41"/>
      <c r="W240" s="115">
        <v>12302829.93</v>
      </c>
      <c r="X240" s="115">
        <v>11500000</v>
      </c>
      <c r="Y240" s="115"/>
      <c r="Z240" s="115"/>
      <c r="AA240" s="115"/>
      <c r="AB240" s="115">
        <v>1000000</v>
      </c>
      <c r="AC240" s="113">
        <f t="shared" si="6"/>
        <v>24802829.93</v>
      </c>
      <c r="AD240" s="108" t="s">
        <v>298</v>
      </c>
    </row>
    <row r="241" spans="1:30" ht="14.25" thickBot="1" thickTop="1">
      <c r="A241" s="38">
        <v>36046</v>
      </c>
      <c r="B241" s="39" t="s">
        <v>34</v>
      </c>
      <c r="C241" s="40" t="s">
        <v>683</v>
      </c>
      <c r="D241" s="40" t="s">
        <v>107</v>
      </c>
      <c r="E241" s="48"/>
      <c r="F241" s="48"/>
      <c r="G241" s="48"/>
      <c r="H241" s="48">
        <v>9336</v>
      </c>
      <c r="I241" s="48">
        <f>65*5</f>
        <v>325</v>
      </c>
      <c r="J241" s="48">
        <f>65*5</f>
        <v>325</v>
      </c>
      <c r="K241" s="48">
        <v>65</v>
      </c>
      <c r="L241" s="48"/>
      <c r="M241" s="49"/>
      <c r="N241" s="49"/>
      <c r="O241" s="49"/>
      <c r="P241" s="49"/>
      <c r="Q241" s="49"/>
      <c r="R241" s="49"/>
      <c r="S241" s="49"/>
      <c r="T241" s="49"/>
      <c r="U241" s="49"/>
      <c r="V241" s="41"/>
      <c r="W241" s="115">
        <v>8795700</v>
      </c>
      <c r="X241" s="115"/>
      <c r="Y241" s="115"/>
      <c r="Z241" s="115"/>
      <c r="AA241" s="115"/>
      <c r="AB241" s="115"/>
      <c r="AC241" s="113">
        <f t="shared" si="6"/>
        <v>8795700</v>
      </c>
      <c r="AD241" s="108" t="s">
        <v>684</v>
      </c>
    </row>
    <row r="242" spans="1:30" ht="18" thickBot="1" thickTop="1">
      <c r="A242" s="38">
        <v>35916</v>
      </c>
      <c r="B242" s="39" t="s">
        <v>34</v>
      </c>
      <c r="C242" s="40" t="s">
        <v>299</v>
      </c>
      <c r="D242" s="40" t="s">
        <v>891</v>
      </c>
      <c r="E242" s="48"/>
      <c r="F242" s="48"/>
      <c r="G242" s="48"/>
      <c r="H242" s="48">
        <v>7524</v>
      </c>
      <c r="I242" s="48">
        <v>30</v>
      </c>
      <c r="J242" s="48">
        <v>0</v>
      </c>
      <c r="K242" s="48">
        <v>6</v>
      </c>
      <c r="L242" s="48"/>
      <c r="M242" s="49">
        <v>6</v>
      </c>
      <c r="N242" s="49">
        <v>1</v>
      </c>
      <c r="O242" s="49"/>
      <c r="P242" s="49"/>
      <c r="Q242" s="49"/>
      <c r="R242" s="49"/>
      <c r="S242" s="49"/>
      <c r="T242" s="49"/>
      <c r="U242" s="49"/>
      <c r="V242" s="41"/>
      <c r="W242" s="115"/>
      <c r="X242" s="115"/>
      <c r="Y242" s="115"/>
      <c r="Z242" s="115"/>
      <c r="AA242" s="115"/>
      <c r="AB242" s="115"/>
      <c r="AC242" s="113">
        <f t="shared" si="6"/>
        <v>0</v>
      </c>
      <c r="AD242" s="108" t="s">
        <v>300</v>
      </c>
    </row>
    <row r="243" spans="1:30" ht="30" thickBot="1" thickTop="1">
      <c r="A243" s="38">
        <v>36052</v>
      </c>
      <c r="B243" s="39" t="s">
        <v>34</v>
      </c>
      <c r="C243" s="40" t="s">
        <v>737</v>
      </c>
      <c r="D243" s="40" t="s">
        <v>911</v>
      </c>
      <c r="E243" s="48"/>
      <c r="F243" s="48"/>
      <c r="G243" s="48"/>
      <c r="H243" s="48">
        <v>17699</v>
      </c>
      <c r="I243" s="48">
        <v>325</v>
      </c>
      <c r="J243" s="48">
        <v>0</v>
      </c>
      <c r="K243" s="48">
        <v>65</v>
      </c>
      <c r="L243" s="48"/>
      <c r="M243" s="49">
        <v>60</v>
      </c>
      <c r="N243" s="49"/>
      <c r="O243" s="49"/>
      <c r="P243" s="49"/>
      <c r="Q243" s="49"/>
      <c r="R243" s="49"/>
      <c r="S243" s="49"/>
      <c r="T243" s="49">
        <v>3</v>
      </c>
      <c r="U243" s="49"/>
      <c r="V243" s="41"/>
      <c r="W243" s="115"/>
      <c r="X243" s="115"/>
      <c r="Y243" s="115"/>
      <c r="Z243" s="115"/>
      <c r="AA243" s="115"/>
      <c r="AB243" s="115"/>
      <c r="AC243" s="113">
        <f t="shared" si="6"/>
        <v>0</v>
      </c>
      <c r="AD243" s="108" t="s">
        <v>813</v>
      </c>
    </row>
    <row r="244" spans="1:30" ht="14.25" thickBot="1" thickTop="1">
      <c r="A244" s="38">
        <v>35916</v>
      </c>
      <c r="B244" s="39" t="s">
        <v>34</v>
      </c>
      <c r="C244" s="40" t="s">
        <v>301</v>
      </c>
      <c r="D244" s="40" t="s">
        <v>911</v>
      </c>
      <c r="E244" s="48"/>
      <c r="F244" s="48"/>
      <c r="G244" s="48"/>
      <c r="H244" s="48">
        <v>36240</v>
      </c>
      <c r="I244" s="48">
        <v>500</v>
      </c>
      <c r="J244" s="48">
        <v>500</v>
      </c>
      <c r="K244" s="48">
        <v>100</v>
      </c>
      <c r="L244" s="48"/>
      <c r="M244" s="49">
        <v>100</v>
      </c>
      <c r="N244" s="49"/>
      <c r="O244" s="49"/>
      <c r="P244" s="49"/>
      <c r="Q244" s="49"/>
      <c r="R244" s="49"/>
      <c r="S244" s="49"/>
      <c r="T244" s="49"/>
      <c r="U244" s="49"/>
      <c r="V244" s="41"/>
      <c r="W244" s="115"/>
      <c r="X244" s="115">
        <v>2300000</v>
      </c>
      <c r="Y244" s="115">
        <v>2754304</v>
      </c>
      <c r="Z244" s="115"/>
      <c r="AA244" s="115"/>
      <c r="AB244" s="115"/>
      <c r="AC244" s="113">
        <f t="shared" si="6"/>
        <v>5054304</v>
      </c>
      <c r="AD244" s="108" t="s">
        <v>302</v>
      </c>
    </row>
    <row r="245" spans="1:30" ht="14.25" thickBot="1" thickTop="1">
      <c r="A245" s="38">
        <v>35914</v>
      </c>
      <c r="B245" s="39" t="s">
        <v>34</v>
      </c>
      <c r="C245" s="40" t="s">
        <v>157</v>
      </c>
      <c r="D245" s="40" t="s">
        <v>911</v>
      </c>
      <c r="E245" s="48"/>
      <c r="F245" s="48"/>
      <c r="G245" s="48"/>
      <c r="H245" s="48">
        <v>5171</v>
      </c>
      <c r="I245" s="48">
        <v>689</v>
      </c>
      <c r="J245" s="48">
        <v>689</v>
      </c>
      <c r="K245" s="48">
        <v>136</v>
      </c>
      <c r="L245" s="48">
        <v>6</v>
      </c>
      <c r="M245" s="49">
        <v>4</v>
      </c>
      <c r="N245" s="49">
        <v>1</v>
      </c>
      <c r="O245" s="49"/>
      <c r="P245" s="49"/>
      <c r="Q245" s="49"/>
      <c r="R245" s="49"/>
      <c r="S245" s="49"/>
      <c r="T245" s="49">
        <v>1</v>
      </c>
      <c r="U245" s="49"/>
      <c r="V245" s="41" t="s">
        <v>94</v>
      </c>
      <c r="W245" s="115"/>
      <c r="X245" s="115"/>
      <c r="Y245" s="115">
        <v>1721440</v>
      </c>
      <c r="Z245" s="115"/>
      <c r="AA245" s="115"/>
      <c r="AB245" s="115"/>
      <c r="AC245" s="113">
        <f t="shared" si="6"/>
        <v>1721440</v>
      </c>
      <c r="AD245" s="108"/>
    </row>
    <row r="246" spans="1:30" ht="29.25" thickBot="1" thickTop="1">
      <c r="A246" s="38">
        <v>36119</v>
      </c>
      <c r="B246" s="39" t="s">
        <v>34</v>
      </c>
      <c r="C246" s="40" t="s">
        <v>325</v>
      </c>
      <c r="D246" s="40" t="s">
        <v>891</v>
      </c>
      <c r="E246" s="48">
        <v>1</v>
      </c>
      <c r="F246" s="48"/>
      <c r="G246" s="48"/>
      <c r="H246" s="48">
        <v>250838</v>
      </c>
      <c r="I246" s="48">
        <f>6+2+6+5+30+15</f>
        <v>64</v>
      </c>
      <c r="J246" s="48">
        <v>0</v>
      </c>
      <c r="K246" s="48">
        <f>3+2+10+6</f>
        <v>21</v>
      </c>
      <c r="L246" s="48">
        <v>3</v>
      </c>
      <c r="M246" s="49">
        <v>17</v>
      </c>
      <c r="N246" s="49"/>
      <c r="O246" s="49"/>
      <c r="P246" s="49">
        <v>2</v>
      </c>
      <c r="Q246" s="49">
        <v>1</v>
      </c>
      <c r="R246" s="49"/>
      <c r="S246" s="49"/>
      <c r="T246" s="49"/>
      <c r="U246" s="49"/>
      <c r="V246" s="41"/>
      <c r="W246" s="115"/>
      <c r="X246" s="115"/>
      <c r="Y246" s="115"/>
      <c r="Z246" s="115"/>
      <c r="AA246" s="115"/>
      <c r="AB246" s="115"/>
      <c r="AC246" s="113">
        <f t="shared" si="6"/>
        <v>0</v>
      </c>
      <c r="AD246" s="108" t="s">
        <v>326</v>
      </c>
    </row>
    <row r="247" spans="1:30" ht="18" thickBot="1" thickTop="1">
      <c r="A247" s="38">
        <v>0</v>
      </c>
      <c r="B247" s="39" t="s">
        <v>34</v>
      </c>
      <c r="C247" s="40" t="s">
        <v>152</v>
      </c>
      <c r="D247" s="40" t="s">
        <v>891</v>
      </c>
      <c r="E247" s="48"/>
      <c r="F247" s="48"/>
      <c r="G247" s="48"/>
      <c r="H247" s="48">
        <v>8610</v>
      </c>
      <c r="I247" s="48">
        <v>250</v>
      </c>
      <c r="J247" s="48">
        <v>250</v>
      </c>
      <c r="K247" s="48">
        <v>50</v>
      </c>
      <c r="L247" s="48">
        <v>2</v>
      </c>
      <c r="M247" s="49">
        <v>8</v>
      </c>
      <c r="N247" s="49">
        <v>5</v>
      </c>
      <c r="O247" s="49"/>
      <c r="P247" s="49"/>
      <c r="Q247" s="49">
        <v>12</v>
      </c>
      <c r="R247" s="49"/>
      <c r="S247" s="49"/>
      <c r="T247" s="49"/>
      <c r="U247" s="49"/>
      <c r="V247" s="41"/>
      <c r="W247" s="115"/>
      <c r="X247" s="115"/>
      <c r="Y247" s="115"/>
      <c r="Z247" s="115"/>
      <c r="AA247" s="115"/>
      <c r="AB247" s="115">
        <v>685000</v>
      </c>
      <c r="AC247" s="113">
        <f t="shared" si="6"/>
        <v>685000</v>
      </c>
      <c r="AD247" s="108" t="s">
        <v>153</v>
      </c>
    </row>
    <row r="248" spans="1:30" ht="26.25" thickBot="1" thickTop="1">
      <c r="A248" s="38">
        <v>35904</v>
      </c>
      <c r="B248" s="39" t="s">
        <v>34</v>
      </c>
      <c r="C248" s="40" t="s">
        <v>154</v>
      </c>
      <c r="D248" s="40" t="s">
        <v>891</v>
      </c>
      <c r="E248" s="48"/>
      <c r="F248" s="48"/>
      <c r="G248" s="48"/>
      <c r="H248" s="48">
        <v>6737</v>
      </c>
      <c r="I248" s="48">
        <v>250</v>
      </c>
      <c r="J248" s="48">
        <v>250</v>
      </c>
      <c r="K248" s="48">
        <v>50</v>
      </c>
      <c r="L248" s="48"/>
      <c r="M248" s="49">
        <v>15</v>
      </c>
      <c r="N248" s="49">
        <v>9</v>
      </c>
      <c r="O248" s="49"/>
      <c r="P248" s="49"/>
      <c r="Q248" s="49">
        <v>5</v>
      </c>
      <c r="R248" s="49"/>
      <c r="S248" s="49"/>
      <c r="T248" s="49">
        <v>1</v>
      </c>
      <c r="U248" s="49">
        <v>1</v>
      </c>
      <c r="V248" s="41" t="s">
        <v>155</v>
      </c>
      <c r="W248" s="115"/>
      <c r="X248" s="115"/>
      <c r="Y248" s="115"/>
      <c r="Z248" s="115"/>
      <c r="AA248" s="115"/>
      <c r="AB248" s="115">
        <v>500000</v>
      </c>
      <c r="AC248" s="113">
        <f t="shared" si="6"/>
        <v>500000</v>
      </c>
      <c r="AD248" s="108" t="s">
        <v>156</v>
      </c>
    </row>
    <row r="249" spans="1:30" ht="18" thickBot="1" thickTop="1">
      <c r="A249" s="38">
        <v>35916</v>
      </c>
      <c r="B249" s="39" t="s">
        <v>34</v>
      </c>
      <c r="C249" s="40" t="s">
        <v>303</v>
      </c>
      <c r="D249" s="40" t="s">
        <v>911</v>
      </c>
      <c r="E249" s="48"/>
      <c r="F249" s="48"/>
      <c r="G249" s="48"/>
      <c r="H249" s="48">
        <v>7546</v>
      </c>
      <c r="I249" s="48">
        <v>225</v>
      </c>
      <c r="J249" s="48">
        <v>225</v>
      </c>
      <c r="K249" s="48">
        <v>45</v>
      </c>
      <c r="L249" s="48"/>
      <c r="M249" s="49">
        <v>45</v>
      </c>
      <c r="N249" s="49"/>
      <c r="O249" s="49"/>
      <c r="P249" s="49"/>
      <c r="Q249" s="49"/>
      <c r="R249" s="49"/>
      <c r="S249" s="49"/>
      <c r="T249" s="49"/>
      <c r="U249" s="49"/>
      <c r="V249" s="41"/>
      <c r="W249" s="115">
        <v>1509517.8</v>
      </c>
      <c r="X249" s="115"/>
      <c r="Y249" s="115"/>
      <c r="Z249" s="115"/>
      <c r="AA249" s="115"/>
      <c r="AB249" s="115"/>
      <c r="AC249" s="113">
        <f t="shared" si="6"/>
        <v>1509517.8</v>
      </c>
      <c r="AD249" s="108" t="s">
        <v>304</v>
      </c>
    </row>
    <row r="250" spans="1:30" ht="14.25" thickBot="1" thickTop="1">
      <c r="A250" s="38">
        <v>35827</v>
      </c>
      <c r="B250" s="39" t="s">
        <v>34</v>
      </c>
      <c r="C250" s="40" t="s">
        <v>875</v>
      </c>
      <c r="D250" s="40" t="s">
        <v>36</v>
      </c>
      <c r="E250" s="48">
        <v>3</v>
      </c>
      <c r="F250" s="48"/>
      <c r="G250" s="48"/>
      <c r="H250" s="48"/>
      <c r="I250" s="48">
        <v>121</v>
      </c>
      <c r="J250" s="48">
        <v>0</v>
      </c>
      <c r="K250" s="48"/>
      <c r="L250" s="48"/>
      <c r="M250" s="49"/>
      <c r="N250" s="49"/>
      <c r="O250" s="49"/>
      <c r="P250" s="49"/>
      <c r="Q250" s="49"/>
      <c r="R250" s="49"/>
      <c r="S250" s="49"/>
      <c r="T250" s="49"/>
      <c r="U250" s="49"/>
      <c r="V250" s="41"/>
      <c r="W250" s="115"/>
      <c r="X250" s="115"/>
      <c r="Y250" s="115"/>
      <c r="Z250" s="115"/>
      <c r="AA250" s="115"/>
      <c r="AB250" s="115"/>
      <c r="AC250" s="113">
        <f t="shared" si="6"/>
        <v>0</v>
      </c>
      <c r="AD250" s="108" t="s">
        <v>37</v>
      </c>
    </row>
    <row r="251" spans="1:30" ht="42.75" thickBot="1" thickTop="1">
      <c r="A251" s="38">
        <v>35857</v>
      </c>
      <c r="B251" s="39" t="s">
        <v>34</v>
      </c>
      <c r="C251" s="40" t="s">
        <v>875</v>
      </c>
      <c r="D251" s="40" t="s">
        <v>911</v>
      </c>
      <c r="E251" s="48"/>
      <c r="F251" s="48"/>
      <c r="G251" s="48"/>
      <c r="H251" s="48"/>
      <c r="I251" s="48"/>
      <c r="J251" s="48"/>
      <c r="K251" s="48"/>
      <c r="L251" s="48"/>
      <c r="M251" s="49"/>
      <c r="N251" s="49"/>
      <c r="O251" s="49"/>
      <c r="P251" s="49"/>
      <c r="Q251" s="49"/>
      <c r="R251" s="49"/>
      <c r="S251" s="49"/>
      <c r="T251" s="49"/>
      <c r="U251" s="49"/>
      <c r="V251" s="41"/>
      <c r="W251" s="115">
        <v>20235456</v>
      </c>
      <c r="X251" s="115">
        <v>4600000</v>
      </c>
      <c r="Y251" s="115"/>
      <c r="Z251" s="115"/>
      <c r="AA251" s="115"/>
      <c r="AB251" s="115"/>
      <c r="AC251" s="113">
        <f t="shared" si="6"/>
        <v>24835456</v>
      </c>
      <c r="AD251" s="108" t="s">
        <v>632</v>
      </c>
    </row>
    <row r="252" spans="1:30" ht="14.25" thickBot="1" thickTop="1">
      <c r="A252" s="38">
        <v>35970</v>
      </c>
      <c r="B252" s="39" t="s">
        <v>34</v>
      </c>
      <c r="C252" s="40" t="s">
        <v>875</v>
      </c>
      <c r="D252" s="40" t="s">
        <v>821</v>
      </c>
      <c r="E252" s="48"/>
      <c r="F252" s="48"/>
      <c r="G252" s="48"/>
      <c r="H252" s="48"/>
      <c r="I252" s="48"/>
      <c r="J252" s="48"/>
      <c r="K252" s="48"/>
      <c r="L252" s="48"/>
      <c r="M252" s="49"/>
      <c r="N252" s="49"/>
      <c r="O252" s="49"/>
      <c r="P252" s="49"/>
      <c r="Q252" s="49"/>
      <c r="R252" s="49"/>
      <c r="S252" s="49"/>
      <c r="T252" s="49"/>
      <c r="U252" s="49"/>
      <c r="V252" s="41"/>
      <c r="W252" s="115"/>
      <c r="X252" s="115"/>
      <c r="Y252" s="115">
        <v>13771520</v>
      </c>
      <c r="Z252" s="115"/>
      <c r="AA252" s="115"/>
      <c r="AB252" s="115"/>
      <c r="AC252" s="113">
        <f t="shared" si="6"/>
        <v>13771520</v>
      </c>
      <c r="AD252" s="108" t="s">
        <v>464</v>
      </c>
    </row>
    <row r="253" spans="1:30" ht="14.25" thickBot="1" thickTop="1">
      <c r="A253" s="38">
        <v>35989</v>
      </c>
      <c r="B253" s="39" t="s">
        <v>39</v>
      </c>
      <c r="C253" s="40" t="s">
        <v>540</v>
      </c>
      <c r="D253" s="40" t="s">
        <v>911</v>
      </c>
      <c r="E253" s="48"/>
      <c r="F253" s="48"/>
      <c r="G253" s="48"/>
      <c r="H253" s="48">
        <v>28305</v>
      </c>
      <c r="I253" s="48">
        <v>60</v>
      </c>
      <c r="J253" s="48">
        <v>60</v>
      </c>
      <c r="K253" s="48">
        <v>12</v>
      </c>
      <c r="L253" s="48"/>
      <c r="M253" s="49">
        <v>12</v>
      </c>
      <c r="N253" s="49"/>
      <c r="O253" s="49"/>
      <c r="P253" s="49"/>
      <c r="Q253" s="49"/>
      <c r="R253" s="49"/>
      <c r="S253" s="49"/>
      <c r="T253" s="49">
        <v>1</v>
      </c>
      <c r="U253" s="49"/>
      <c r="V253" s="41"/>
      <c r="W253" s="115"/>
      <c r="X253" s="115"/>
      <c r="Y253" s="115">
        <v>1026600</v>
      </c>
      <c r="Z253" s="115"/>
      <c r="AA253" s="115"/>
      <c r="AB253" s="115"/>
      <c r="AC253" s="113">
        <f t="shared" si="6"/>
        <v>1026600</v>
      </c>
      <c r="AD253" s="108"/>
    </row>
    <row r="254" spans="1:30" ht="18" thickBot="1" thickTop="1">
      <c r="A254" s="38">
        <v>36118</v>
      </c>
      <c r="B254" s="39" t="s">
        <v>39</v>
      </c>
      <c r="C254" s="40" t="s">
        <v>540</v>
      </c>
      <c r="D254" s="40" t="s">
        <v>821</v>
      </c>
      <c r="E254" s="48"/>
      <c r="F254" s="48"/>
      <c r="G254" s="48"/>
      <c r="H254" s="48">
        <v>28305</v>
      </c>
      <c r="I254" s="48">
        <f>150*5</f>
        <v>750</v>
      </c>
      <c r="J254" s="48">
        <f>150*5</f>
        <v>750</v>
      </c>
      <c r="K254" s="48">
        <v>150</v>
      </c>
      <c r="L254" s="48"/>
      <c r="M254" s="49">
        <v>150</v>
      </c>
      <c r="N254" s="49"/>
      <c r="O254" s="49"/>
      <c r="P254" s="49"/>
      <c r="Q254" s="49"/>
      <c r="R254" s="49"/>
      <c r="S254" s="49"/>
      <c r="T254" s="49"/>
      <c r="U254" s="49"/>
      <c r="V254" s="41"/>
      <c r="W254" s="115">
        <v>13937400</v>
      </c>
      <c r="X254" s="115">
        <v>3244800</v>
      </c>
      <c r="Y254" s="115">
        <v>3422000</v>
      </c>
      <c r="Z254" s="115"/>
      <c r="AA254" s="115"/>
      <c r="AB254" s="115"/>
      <c r="AC254" s="113">
        <f t="shared" si="6"/>
        <v>20604200</v>
      </c>
      <c r="AD254" s="108" t="s">
        <v>342</v>
      </c>
    </row>
    <row r="255" spans="1:30" ht="14.25" thickBot="1" thickTop="1">
      <c r="A255" s="38">
        <v>36008</v>
      </c>
      <c r="B255" s="39" t="s">
        <v>39</v>
      </c>
      <c r="C255" s="40" t="s">
        <v>636</v>
      </c>
      <c r="D255" s="40" t="s">
        <v>911</v>
      </c>
      <c r="E255" s="48"/>
      <c r="F255" s="48"/>
      <c r="G255" s="48"/>
      <c r="H255" s="48">
        <v>93093</v>
      </c>
      <c r="I255" s="48">
        <v>38</v>
      </c>
      <c r="J255" s="48">
        <v>0</v>
      </c>
      <c r="K255" s="48">
        <v>7</v>
      </c>
      <c r="L255" s="48"/>
      <c r="M255" s="49">
        <v>7</v>
      </c>
      <c r="N255" s="49"/>
      <c r="O255" s="49"/>
      <c r="P255" s="49"/>
      <c r="Q255" s="49"/>
      <c r="R255" s="49"/>
      <c r="S255" s="49"/>
      <c r="T255" s="49">
        <v>1</v>
      </c>
      <c r="U255" s="49"/>
      <c r="V255" s="41"/>
      <c r="W255" s="115"/>
      <c r="X255" s="115"/>
      <c r="Y255" s="115"/>
      <c r="Z255" s="115"/>
      <c r="AA255" s="115"/>
      <c r="AB255" s="115"/>
      <c r="AC255" s="113">
        <f t="shared" si="6"/>
        <v>0</v>
      </c>
      <c r="AD255" s="108" t="s">
        <v>637</v>
      </c>
    </row>
    <row r="256" spans="1:30" ht="14.25" thickBot="1" thickTop="1">
      <c r="A256" s="38">
        <v>35907</v>
      </c>
      <c r="B256" s="39" t="s">
        <v>39</v>
      </c>
      <c r="C256" s="40" t="s">
        <v>158</v>
      </c>
      <c r="D256" s="40" t="s">
        <v>821</v>
      </c>
      <c r="E256" s="48"/>
      <c r="F256" s="48"/>
      <c r="G256" s="48"/>
      <c r="H256" s="48">
        <v>97289</v>
      </c>
      <c r="I256" s="48"/>
      <c r="J256" s="48"/>
      <c r="K256" s="48"/>
      <c r="L256" s="48"/>
      <c r="M256" s="49"/>
      <c r="N256" s="49"/>
      <c r="O256" s="49"/>
      <c r="P256" s="49"/>
      <c r="Q256" s="49"/>
      <c r="R256" s="49"/>
      <c r="S256" s="49"/>
      <c r="T256" s="49"/>
      <c r="U256" s="49"/>
      <c r="V256" s="41"/>
      <c r="W256" s="115">
        <v>23791380</v>
      </c>
      <c r="X256" s="115">
        <v>4600000</v>
      </c>
      <c r="Y256" s="115"/>
      <c r="Z256" s="115"/>
      <c r="AA256" s="115"/>
      <c r="AB256" s="115"/>
      <c r="AC256" s="113">
        <f t="shared" si="6"/>
        <v>28391380</v>
      </c>
      <c r="AD256" s="108" t="s">
        <v>159</v>
      </c>
    </row>
    <row r="257" spans="1:30" ht="14.25" thickBot="1" thickTop="1">
      <c r="A257" s="38">
        <v>35923</v>
      </c>
      <c r="B257" s="39" t="s">
        <v>39</v>
      </c>
      <c r="C257" s="40" t="s">
        <v>158</v>
      </c>
      <c r="D257" s="40" t="s">
        <v>821</v>
      </c>
      <c r="E257" s="48"/>
      <c r="F257" s="48"/>
      <c r="G257" s="48"/>
      <c r="H257" s="48">
        <v>97289</v>
      </c>
      <c r="I257" s="48">
        <v>325</v>
      </c>
      <c r="J257" s="48">
        <v>325</v>
      </c>
      <c r="K257" s="48">
        <v>65</v>
      </c>
      <c r="L257" s="48"/>
      <c r="M257" s="49">
        <v>11</v>
      </c>
      <c r="N257" s="49"/>
      <c r="O257" s="49"/>
      <c r="P257" s="49"/>
      <c r="Q257" s="49"/>
      <c r="R257" s="49"/>
      <c r="S257" s="49"/>
      <c r="T257" s="49"/>
      <c r="U257" s="49"/>
      <c r="V257" s="41"/>
      <c r="W257" s="115"/>
      <c r="X257" s="115">
        <v>1495000</v>
      </c>
      <c r="Y257" s="115"/>
      <c r="Z257" s="115"/>
      <c r="AA257" s="115"/>
      <c r="AB257" s="115"/>
      <c r="AC257" s="113">
        <f t="shared" si="6"/>
        <v>1495000</v>
      </c>
      <c r="AD257" s="108"/>
    </row>
    <row r="258" spans="1:30" ht="18" thickBot="1" thickTop="1">
      <c r="A258" s="38">
        <v>35951</v>
      </c>
      <c r="B258" s="39" t="s">
        <v>39</v>
      </c>
      <c r="C258" s="40" t="s">
        <v>158</v>
      </c>
      <c r="D258" s="40" t="s">
        <v>821</v>
      </c>
      <c r="E258" s="48"/>
      <c r="F258" s="48"/>
      <c r="G258" s="48"/>
      <c r="H258" s="48">
        <v>97289</v>
      </c>
      <c r="I258" s="48"/>
      <c r="J258" s="48"/>
      <c r="K258" s="48"/>
      <c r="L258" s="48"/>
      <c r="M258" s="49"/>
      <c r="N258" s="49"/>
      <c r="O258" s="49"/>
      <c r="P258" s="49"/>
      <c r="Q258" s="49"/>
      <c r="R258" s="49"/>
      <c r="S258" s="49"/>
      <c r="T258" s="49"/>
      <c r="U258" s="49"/>
      <c r="V258" s="41"/>
      <c r="W258" s="115"/>
      <c r="X258" s="115">
        <v>2300000</v>
      </c>
      <c r="Y258" s="115"/>
      <c r="Z258" s="115"/>
      <c r="AA258" s="115"/>
      <c r="AB258" s="115"/>
      <c r="AC258" s="113">
        <f t="shared" si="6"/>
        <v>2300000</v>
      </c>
      <c r="AD258" s="108" t="s">
        <v>465</v>
      </c>
    </row>
    <row r="259" spans="1:30" ht="14.25" thickBot="1" thickTop="1">
      <c r="A259" s="38">
        <v>36137</v>
      </c>
      <c r="B259" s="39" t="s">
        <v>39</v>
      </c>
      <c r="C259" s="40" t="s">
        <v>158</v>
      </c>
      <c r="D259" s="40" t="s">
        <v>821</v>
      </c>
      <c r="E259" s="48"/>
      <c r="F259" s="48"/>
      <c r="G259" s="48"/>
      <c r="H259" s="48">
        <v>97289</v>
      </c>
      <c r="I259" s="48">
        <f>281*5</f>
        <v>1405</v>
      </c>
      <c r="J259" s="48">
        <f>281*5</f>
        <v>1405</v>
      </c>
      <c r="K259" s="48">
        <v>281</v>
      </c>
      <c r="L259" s="48"/>
      <c r="M259" s="49">
        <v>101</v>
      </c>
      <c r="N259" s="49"/>
      <c r="O259" s="49"/>
      <c r="P259" s="49"/>
      <c r="Q259" s="49"/>
      <c r="R259" s="49"/>
      <c r="S259" s="49"/>
      <c r="T259" s="49"/>
      <c r="U259" s="49"/>
      <c r="V259" s="41"/>
      <c r="W259" s="115">
        <v>31670591.13</v>
      </c>
      <c r="X259" s="115">
        <v>6078592</v>
      </c>
      <c r="Y259" s="115">
        <v>5817400</v>
      </c>
      <c r="Z259" s="115"/>
      <c r="AA259" s="115"/>
      <c r="AB259" s="115">
        <v>2000000</v>
      </c>
      <c r="AC259" s="113">
        <f t="shared" si="6"/>
        <v>45566583.129999995</v>
      </c>
      <c r="AD259" s="108" t="s">
        <v>246</v>
      </c>
    </row>
    <row r="260" spans="1:30" ht="14.25" thickBot="1" thickTop="1">
      <c r="A260" s="38">
        <v>36137</v>
      </c>
      <c r="B260" s="39" t="s">
        <v>39</v>
      </c>
      <c r="C260" s="40" t="s">
        <v>158</v>
      </c>
      <c r="D260" s="40" t="s">
        <v>821</v>
      </c>
      <c r="E260" s="48"/>
      <c r="F260" s="48"/>
      <c r="G260" s="48"/>
      <c r="H260" s="48">
        <v>97289</v>
      </c>
      <c r="I260" s="48">
        <v>152</v>
      </c>
      <c r="J260" s="48">
        <v>152</v>
      </c>
      <c r="K260" s="48">
        <v>28</v>
      </c>
      <c r="L260" s="48"/>
      <c r="M260" s="49"/>
      <c r="N260" s="49"/>
      <c r="O260" s="49"/>
      <c r="P260" s="49"/>
      <c r="Q260" s="49"/>
      <c r="R260" s="49"/>
      <c r="S260" s="49"/>
      <c r="T260" s="49"/>
      <c r="U260" s="49"/>
      <c r="V260" s="41"/>
      <c r="W260" s="115">
        <v>3155788.44</v>
      </c>
      <c r="X260" s="115"/>
      <c r="Y260" s="115"/>
      <c r="Z260" s="115"/>
      <c r="AA260" s="115"/>
      <c r="AB260" s="115"/>
      <c r="AC260" s="113">
        <f t="shared" si="6"/>
        <v>3155788.44</v>
      </c>
      <c r="AD260" s="108" t="s">
        <v>20</v>
      </c>
    </row>
    <row r="261" spans="1:30" ht="24" thickBot="1" thickTop="1">
      <c r="A261" s="38">
        <v>35989</v>
      </c>
      <c r="B261" s="39" t="s">
        <v>39</v>
      </c>
      <c r="C261" s="40" t="s">
        <v>539</v>
      </c>
      <c r="D261" s="40" t="s">
        <v>911</v>
      </c>
      <c r="E261" s="48"/>
      <c r="F261" s="48"/>
      <c r="G261" s="48"/>
      <c r="H261" s="48">
        <v>30052</v>
      </c>
      <c r="I261" s="48">
        <v>100</v>
      </c>
      <c r="J261" s="48">
        <v>100</v>
      </c>
      <c r="K261" s="48">
        <v>20</v>
      </c>
      <c r="L261" s="48"/>
      <c r="M261" s="49">
        <v>20</v>
      </c>
      <c r="N261" s="49"/>
      <c r="O261" s="49"/>
      <c r="P261" s="49"/>
      <c r="Q261" s="49"/>
      <c r="R261" s="49"/>
      <c r="S261" s="49"/>
      <c r="T261" s="49"/>
      <c r="U261" s="49"/>
      <c r="V261" s="41"/>
      <c r="W261" s="115"/>
      <c r="X261" s="115"/>
      <c r="Y261" s="115">
        <v>1026600</v>
      </c>
      <c r="Z261" s="115"/>
      <c r="AA261" s="115"/>
      <c r="AB261" s="115"/>
      <c r="AC261" s="113">
        <f t="shared" si="6"/>
        <v>1026600</v>
      </c>
      <c r="AD261" s="108"/>
    </row>
    <row r="262" spans="1:30" ht="14.25" thickBot="1" thickTop="1">
      <c r="A262" s="38">
        <v>35863</v>
      </c>
      <c r="B262" s="39" t="s">
        <v>39</v>
      </c>
      <c r="C262" s="40" t="s">
        <v>80</v>
      </c>
      <c r="D262" s="40" t="s">
        <v>911</v>
      </c>
      <c r="E262" s="48"/>
      <c r="F262" s="48">
        <v>1</v>
      </c>
      <c r="G262" s="48"/>
      <c r="H262" s="48">
        <v>9964</v>
      </c>
      <c r="I262" s="48">
        <v>205</v>
      </c>
      <c r="J262" s="48">
        <v>205</v>
      </c>
      <c r="K262" s="48">
        <v>41</v>
      </c>
      <c r="L262" s="48"/>
      <c r="M262" s="49">
        <v>41</v>
      </c>
      <c r="N262" s="49"/>
      <c r="O262" s="49"/>
      <c r="P262" s="49"/>
      <c r="Q262" s="49"/>
      <c r="R262" s="49"/>
      <c r="S262" s="49"/>
      <c r="T262" s="49"/>
      <c r="U262" s="49"/>
      <c r="V262" s="41"/>
      <c r="W262" s="115"/>
      <c r="X262" s="115"/>
      <c r="Y262" s="115">
        <v>6342091.2</v>
      </c>
      <c r="Z262" s="115"/>
      <c r="AA262" s="115"/>
      <c r="AB262" s="115"/>
      <c r="AC262" s="113">
        <f t="shared" si="6"/>
        <v>6342091.2</v>
      </c>
      <c r="AD262" s="108"/>
    </row>
    <row r="263" spans="1:30" ht="14.25" thickBot="1" thickTop="1">
      <c r="A263" s="38">
        <v>35850</v>
      </c>
      <c r="B263" s="39" t="s">
        <v>39</v>
      </c>
      <c r="C263" s="40" t="s">
        <v>40</v>
      </c>
      <c r="D263" s="40" t="s">
        <v>884</v>
      </c>
      <c r="E263" s="48"/>
      <c r="F263" s="48"/>
      <c r="G263" s="48"/>
      <c r="H263" s="48"/>
      <c r="I263" s="48"/>
      <c r="J263" s="48"/>
      <c r="K263" s="48"/>
      <c r="L263" s="48"/>
      <c r="M263" s="49"/>
      <c r="N263" s="49"/>
      <c r="O263" s="49"/>
      <c r="P263" s="49"/>
      <c r="Q263" s="49"/>
      <c r="R263" s="49"/>
      <c r="S263" s="49"/>
      <c r="T263" s="49"/>
      <c r="U263" s="49"/>
      <c r="V263" s="41"/>
      <c r="W263" s="115"/>
      <c r="X263" s="115">
        <v>23000000</v>
      </c>
      <c r="Y263" s="115"/>
      <c r="Z263" s="115"/>
      <c r="AA263" s="115"/>
      <c r="AB263" s="115"/>
      <c r="AC263" s="113">
        <f t="shared" si="6"/>
        <v>23000000</v>
      </c>
      <c r="AD263" s="108"/>
    </row>
    <row r="264" spans="1:30" ht="24" thickBot="1" thickTop="1">
      <c r="A264" s="38">
        <v>36138</v>
      </c>
      <c r="B264" s="39" t="s">
        <v>882</v>
      </c>
      <c r="C264" s="40" t="s">
        <v>138</v>
      </c>
      <c r="D264" s="40" t="s">
        <v>821</v>
      </c>
      <c r="E264" s="48"/>
      <c r="F264" s="48"/>
      <c r="G264" s="48"/>
      <c r="H264" s="48">
        <v>17992</v>
      </c>
      <c r="I264" s="48">
        <f>278*5</f>
        <v>1390</v>
      </c>
      <c r="J264" s="48">
        <f>278*5</f>
        <v>1390</v>
      </c>
      <c r="K264" s="48">
        <v>278</v>
      </c>
      <c r="L264" s="48"/>
      <c r="M264" s="49"/>
      <c r="N264" s="49"/>
      <c r="O264" s="49"/>
      <c r="P264" s="49"/>
      <c r="Q264" s="49"/>
      <c r="R264" s="49"/>
      <c r="S264" s="49"/>
      <c r="T264" s="49"/>
      <c r="U264" s="49"/>
      <c r="V264" s="41"/>
      <c r="W264" s="115">
        <v>23702280</v>
      </c>
      <c r="X264" s="115">
        <v>6013696</v>
      </c>
      <c r="Y264" s="115"/>
      <c r="Z264" s="115"/>
      <c r="AA264" s="115"/>
      <c r="AB264" s="115"/>
      <c r="AC264" s="113">
        <f t="shared" si="6"/>
        <v>29715976</v>
      </c>
      <c r="AD264" s="108"/>
    </row>
    <row r="265" spans="1:30" ht="14.25" thickBot="1" thickTop="1">
      <c r="A265" s="38">
        <v>36144</v>
      </c>
      <c r="B265" s="39" t="s">
        <v>882</v>
      </c>
      <c r="C265" s="40" t="s">
        <v>331</v>
      </c>
      <c r="D265" s="40" t="s">
        <v>821</v>
      </c>
      <c r="E265" s="48"/>
      <c r="F265" s="48"/>
      <c r="G265" s="48"/>
      <c r="H265" s="48">
        <v>130610</v>
      </c>
      <c r="I265" s="48">
        <v>754</v>
      </c>
      <c r="J265" s="48">
        <v>754</v>
      </c>
      <c r="K265" s="48">
        <v>150</v>
      </c>
      <c r="L265" s="48">
        <v>47</v>
      </c>
      <c r="M265" s="49">
        <v>80</v>
      </c>
      <c r="N265" s="49"/>
      <c r="O265" s="49"/>
      <c r="P265" s="49"/>
      <c r="Q265" s="49"/>
      <c r="R265" s="49"/>
      <c r="S265" s="49"/>
      <c r="T265" s="49"/>
      <c r="U265" s="49"/>
      <c r="V265" s="41"/>
      <c r="W265" s="115">
        <v>12789000</v>
      </c>
      <c r="X265" s="115">
        <v>3244800</v>
      </c>
      <c r="Y265" s="115"/>
      <c r="Z265" s="115"/>
      <c r="AA265" s="115"/>
      <c r="AB265" s="115"/>
      <c r="AC265" s="113">
        <f t="shared" si="6"/>
        <v>16033800</v>
      </c>
      <c r="AD265" s="108"/>
    </row>
    <row r="266" spans="1:30" ht="34.5" thickBot="1" thickTop="1">
      <c r="A266" s="38">
        <v>35865</v>
      </c>
      <c r="B266" s="39" t="s">
        <v>882</v>
      </c>
      <c r="C266" s="40" t="s">
        <v>81</v>
      </c>
      <c r="D266" s="40" t="s">
        <v>82</v>
      </c>
      <c r="E266" s="48"/>
      <c r="F266" s="48"/>
      <c r="G266" s="48"/>
      <c r="H266" s="48"/>
      <c r="I266" s="48"/>
      <c r="J266" s="48"/>
      <c r="K266" s="48"/>
      <c r="L266" s="48"/>
      <c r="M266" s="49"/>
      <c r="N266" s="49"/>
      <c r="O266" s="49"/>
      <c r="P266" s="49"/>
      <c r="Q266" s="49"/>
      <c r="R266" s="49"/>
      <c r="S266" s="49"/>
      <c r="T266" s="49"/>
      <c r="U266" s="49"/>
      <c r="V266" s="41"/>
      <c r="W266" s="115"/>
      <c r="X266" s="116">
        <v>34500000</v>
      </c>
      <c r="Y266" s="115"/>
      <c r="Z266" s="115"/>
      <c r="AA266" s="115"/>
      <c r="AB266" s="115"/>
      <c r="AC266" s="113">
        <f t="shared" si="6"/>
        <v>34500000</v>
      </c>
      <c r="AD266" s="108" t="s">
        <v>84</v>
      </c>
    </row>
    <row r="267" spans="1:30" ht="14.25" thickBot="1" thickTop="1">
      <c r="A267" s="38">
        <v>35962</v>
      </c>
      <c r="B267" s="39" t="s">
        <v>882</v>
      </c>
      <c r="C267" s="40" t="s">
        <v>308</v>
      </c>
      <c r="D267" s="40" t="s">
        <v>821</v>
      </c>
      <c r="E267" s="48"/>
      <c r="F267" s="48"/>
      <c r="G267" s="48"/>
      <c r="H267" s="48">
        <v>54992</v>
      </c>
      <c r="I267" s="48"/>
      <c r="J267" s="48"/>
      <c r="K267" s="48"/>
      <c r="L267" s="48"/>
      <c r="M267" s="49"/>
      <c r="N267" s="49"/>
      <c r="O267" s="49"/>
      <c r="P267" s="49"/>
      <c r="Q267" s="49"/>
      <c r="R267" s="49"/>
      <c r="S267" s="49"/>
      <c r="T267" s="49"/>
      <c r="U267" s="49"/>
      <c r="V267" s="41"/>
      <c r="W267" s="115"/>
      <c r="X267" s="115"/>
      <c r="Y267" s="114"/>
      <c r="Z267" s="115">
        <v>4408000</v>
      </c>
      <c r="AA267" s="115"/>
      <c r="AB267" s="115"/>
      <c r="AC267" s="113">
        <f t="shared" si="6"/>
        <v>4408000</v>
      </c>
      <c r="AD267" s="108"/>
    </row>
    <row r="268" spans="1:30" ht="14.25" thickBot="1" thickTop="1">
      <c r="A268" s="38">
        <v>36129</v>
      </c>
      <c r="B268" s="39" t="s">
        <v>882</v>
      </c>
      <c r="C268" s="40" t="s">
        <v>308</v>
      </c>
      <c r="D268" s="40" t="s">
        <v>821</v>
      </c>
      <c r="E268" s="48"/>
      <c r="F268" s="48"/>
      <c r="G268" s="48"/>
      <c r="H268" s="48">
        <v>54992</v>
      </c>
      <c r="I268" s="48">
        <f>1977+1747+2518+214</f>
        <v>6456</v>
      </c>
      <c r="J268" s="48">
        <f>1977+1747+2518+214</f>
        <v>6456</v>
      </c>
      <c r="K268" s="48">
        <v>1314</v>
      </c>
      <c r="L268" s="48"/>
      <c r="M268" s="49"/>
      <c r="N268" s="49"/>
      <c r="O268" s="49"/>
      <c r="P268" s="49"/>
      <c r="Q268" s="49"/>
      <c r="R268" s="49"/>
      <c r="S268" s="49"/>
      <c r="T268" s="49"/>
      <c r="U268" s="49"/>
      <c r="V268" s="41"/>
      <c r="W268" s="115"/>
      <c r="X268" s="115">
        <v>15142400</v>
      </c>
      <c r="Y268" s="115"/>
      <c r="Z268" s="115"/>
      <c r="AA268" s="115"/>
      <c r="AB268" s="115"/>
      <c r="AC268" s="113">
        <f t="shared" si="6"/>
        <v>15142400</v>
      </c>
      <c r="AD268" s="108"/>
    </row>
    <row r="269" spans="1:30" ht="14.25" thickBot="1" thickTop="1">
      <c r="A269" s="38">
        <v>35920</v>
      </c>
      <c r="B269" s="39" t="s">
        <v>882</v>
      </c>
      <c r="C269" s="40" t="s">
        <v>305</v>
      </c>
      <c r="D269" s="40" t="s">
        <v>821</v>
      </c>
      <c r="E269" s="48"/>
      <c r="F269" s="48"/>
      <c r="G269" s="48"/>
      <c r="H269" s="48">
        <v>51251</v>
      </c>
      <c r="I269" s="48">
        <v>1310</v>
      </c>
      <c r="J269" s="48">
        <v>1310</v>
      </c>
      <c r="K269" s="48">
        <v>262</v>
      </c>
      <c r="L269" s="48">
        <v>2</v>
      </c>
      <c r="M269" s="49"/>
      <c r="N269" s="49"/>
      <c r="O269" s="49"/>
      <c r="P269" s="49">
        <v>2</v>
      </c>
      <c r="Q269" s="49"/>
      <c r="R269" s="49"/>
      <c r="S269" s="49"/>
      <c r="T269" s="49">
        <v>2</v>
      </c>
      <c r="U269" s="49"/>
      <c r="V269" s="41"/>
      <c r="W269" s="115">
        <v>21215208.959999993</v>
      </c>
      <c r="X269" s="115">
        <v>6026000</v>
      </c>
      <c r="Y269" s="115"/>
      <c r="Z269" s="115"/>
      <c r="AA269" s="115"/>
      <c r="AB269" s="115"/>
      <c r="AC269" s="113">
        <f t="shared" si="6"/>
        <v>27241208.959999993</v>
      </c>
      <c r="AD269" s="108" t="s">
        <v>306</v>
      </c>
    </row>
    <row r="270" spans="1:30" ht="26.25" thickBot="1" thickTop="1">
      <c r="A270" s="38">
        <v>35947</v>
      </c>
      <c r="B270" s="39" t="s">
        <v>882</v>
      </c>
      <c r="C270" s="40" t="s">
        <v>305</v>
      </c>
      <c r="D270" s="40" t="s">
        <v>821</v>
      </c>
      <c r="E270" s="48"/>
      <c r="F270" s="48"/>
      <c r="G270" s="48"/>
      <c r="H270" s="48">
        <v>51251</v>
      </c>
      <c r="I270" s="48">
        <v>1295</v>
      </c>
      <c r="J270" s="48">
        <v>0</v>
      </c>
      <c r="K270" s="48">
        <v>259</v>
      </c>
      <c r="L270" s="48">
        <v>2</v>
      </c>
      <c r="M270" s="49">
        <v>2</v>
      </c>
      <c r="N270" s="49">
        <v>2</v>
      </c>
      <c r="O270" s="49">
        <v>2</v>
      </c>
      <c r="P270" s="49"/>
      <c r="Q270" s="49"/>
      <c r="R270" s="49"/>
      <c r="S270" s="49"/>
      <c r="T270" s="49"/>
      <c r="U270" s="49"/>
      <c r="V270" s="41"/>
      <c r="W270" s="115"/>
      <c r="X270" s="115"/>
      <c r="Y270" s="115"/>
      <c r="Z270" s="115"/>
      <c r="AA270" s="115"/>
      <c r="AB270" s="115"/>
      <c r="AC270" s="113">
        <f t="shared" si="6"/>
        <v>0</v>
      </c>
      <c r="AD270" s="108" t="s">
        <v>466</v>
      </c>
    </row>
    <row r="271" spans="1:30" ht="26.25" thickBot="1" thickTop="1">
      <c r="A271" s="38">
        <v>36060</v>
      </c>
      <c r="B271" s="39" t="s">
        <v>882</v>
      </c>
      <c r="C271" s="40" t="s">
        <v>305</v>
      </c>
      <c r="D271" s="40" t="s">
        <v>821</v>
      </c>
      <c r="E271" s="48"/>
      <c r="F271" s="48"/>
      <c r="G271" s="48"/>
      <c r="H271" s="48">
        <v>51251</v>
      </c>
      <c r="I271" s="48">
        <f>55*5</f>
        <v>275</v>
      </c>
      <c r="J271" s="48">
        <f>55*5</f>
        <v>275</v>
      </c>
      <c r="K271" s="48">
        <v>55</v>
      </c>
      <c r="L271" s="48"/>
      <c r="M271" s="49"/>
      <c r="N271" s="49"/>
      <c r="O271" s="49"/>
      <c r="P271" s="49">
        <v>2</v>
      </c>
      <c r="Q271" s="49"/>
      <c r="R271" s="49"/>
      <c r="S271" s="49"/>
      <c r="T271" s="49"/>
      <c r="U271" s="49"/>
      <c r="V271" s="41"/>
      <c r="W271" s="115">
        <v>6106173.7</v>
      </c>
      <c r="X271" s="115"/>
      <c r="Y271" s="115"/>
      <c r="Z271" s="115"/>
      <c r="AA271" s="115"/>
      <c r="AB271" s="115"/>
      <c r="AC271" s="113">
        <f t="shared" si="6"/>
        <v>6106173.7</v>
      </c>
      <c r="AD271" s="108" t="s">
        <v>691</v>
      </c>
    </row>
    <row r="272" spans="1:30" ht="26.25" thickBot="1" thickTop="1">
      <c r="A272" s="38">
        <v>36050</v>
      </c>
      <c r="B272" s="39" t="s">
        <v>882</v>
      </c>
      <c r="C272" s="40" t="s">
        <v>305</v>
      </c>
      <c r="D272" s="40" t="s">
        <v>821</v>
      </c>
      <c r="E272" s="48"/>
      <c r="F272" s="48"/>
      <c r="G272" s="48"/>
      <c r="H272" s="48">
        <v>51251</v>
      </c>
      <c r="I272" s="48">
        <f>400*5</f>
        <v>2000</v>
      </c>
      <c r="J272" s="48">
        <f>400*5</f>
        <v>2000</v>
      </c>
      <c r="K272" s="48">
        <v>400</v>
      </c>
      <c r="L272" s="48"/>
      <c r="M272" s="49"/>
      <c r="N272" s="49"/>
      <c r="O272" s="49"/>
      <c r="P272" s="49">
        <v>2</v>
      </c>
      <c r="Q272" s="49"/>
      <c r="R272" s="49"/>
      <c r="S272" s="49"/>
      <c r="T272" s="49"/>
      <c r="U272" s="49"/>
      <c r="V272" s="41"/>
      <c r="W272" s="115">
        <f>4840369.7+11102134</f>
        <v>15942503.7</v>
      </c>
      <c r="X272" s="115">
        <v>3450000</v>
      </c>
      <c r="Y272" s="115"/>
      <c r="Z272" s="115"/>
      <c r="AA272" s="115"/>
      <c r="AB272" s="115"/>
      <c r="AC272" s="113">
        <f t="shared" si="6"/>
        <v>19392503.7</v>
      </c>
      <c r="AD272" s="108" t="s">
        <v>774</v>
      </c>
    </row>
    <row r="273" spans="1:31" ht="24" thickBot="1" thickTop="1">
      <c r="A273" s="38">
        <v>36117</v>
      </c>
      <c r="B273" s="39" t="s">
        <v>882</v>
      </c>
      <c r="C273" s="40" t="s">
        <v>751</v>
      </c>
      <c r="D273" s="40" t="s">
        <v>821</v>
      </c>
      <c r="E273" s="48"/>
      <c r="F273" s="48"/>
      <c r="G273" s="48"/>
      <c r="H273" s="48"/>
      <c r="I273" s="48">
        <f>250+214</f>
        <v>464</v>
      </c>
      <c r="J273" s="48">
        <f>250+214</f>
        <v>464</v>
      </c>
      <c r="K273" s="48">
        <v>77</v>
      </c>
      <c r="L273" s="48"/>
      <c r="M273" s="49">
        <v>77</v>
      </c>
      <c r="N273" s="49"/>
      <c r="O273" s="49"/>
      <c r="P273" s="49"/>
      <c r="Q273" s="49"/>
      <c r="R273" s="49"/>
      <c r="S273" s="49"/>
      <c r="T273" s="49"/>
      <c r="U273" s="49"/>
      <c r="V273" s="41"/>
      <c r="W273" s="115"/>
      <c r="X273" s="115"/>
      <c r="Y273" s="115"/>
      <c r="Z273" s="115">
        <v>4408000</v>
      </c>
      <c r="AA273" s="115"/>
      <c r="AB273" s="115"/>
      <c r="AC273" s="113">
        <f t="shared" si="6"/>
        <v>4408000</v>
      </c>
      <c r="AD273" s="108"/>
      <c r="AE273" s="4" t="s">
        <v>594</v>
      </c>
    </row>
    <row r="274" spans="1:30" ht="24" thickBot="1" thickTop="1">
      <c r="A274" s="38">
        <v>36139</v>
      </c>
      <c r="B274" s="39" t="s">
        <v>882</v>
      </c>
      <c r="C274" s="40" t="s">
        <v>751</v>
      </c>
      <c r="D274" s="40" t="s">
        <v>821</v>
      </c>
      <c r="E274" s="48"/>
      <c r="F274" s="48"/>
      <c r="G274" s="48"/>
      <c r="H274" s="48"/>
      <c r="I274" s="48">
        <f>255+222</f>
        <v>477</v>
      </c>
      <c r="J274" s="48">
        <f>255+222</f>
        <v>477</v>
      </c>
      <c r="K274" s="48">
        <v>95</v>
      </c>
      <c r="L274" s="48"/>
      <c r="M274" s="49"/>
      <c r="N274" s="49"/>
      <c r="O274" s="49"/>
      <c r="P274" s="49"/>
      <c r="Q274" s="49"/>
      <c r="R274" s="49"/>
      <c r="S274" s="49"/>
      <c r="T274" s="49"/>
      <c r="U274" s="49"/>
      <c r="V274" s="41"/>
      <c r="W274" s="115">
        <v>7467767.4799999995</v>
      </c>
      <c r="X274" s="115"/>
      <c r="Y274" s="115"/>
      <c r="Z274" s="115"/>
      <c r="AA274" s="115"/>
      <c r="AB274" s="115"/>
      <c r="AC274" s="113">
        <f t="shared" si="6"/>
        <v>7467767.4799999995</v>
      </c>
      <c r="AD274" s="108"/>
    </row>
    <row r="275" spans="1:31" ht="14.25" thickBot="1" thickTop="1">
      <c r="A275" s="38">
        <v>36110</v>
      </c>
      <c r="B275" s="39" t="s">
        <v>882</v>
      </c>
      <c r="C275" s="40" t="s">
        <v>883</v>
      </c>
      <c r="D275" s="40" t="s">
        <v>821</v>
      </c>
      <c r="E275" s="48"/>
      <c r="F275" s="48"/>
      <c r="G275" s="48"/>
      <c r="H275" s="48">
        <v>48629</v>
      </c>
      <c r="I275" s="48">
        <f>50*5</f>
        <v>250</v>
      </c>
      <c r="J275" s="48">
        <f>50*5</f>
        <v>250</v>
      </c>
      <c r="K275" s="48">
        <v>50</v>
      </c>
      <c r="L275" s="48"/>
      <c r="M275" s="49"/>
      <c r="N275" s="49"/>
      <c r="O275" s="49"/>
      <c r="P275" s="49"/>
      <c r="Q275" s="49"/>
      <c r="R275" s="49"/>
      <c r="S275" s="49"/>
      <c r="T275" s="49"/>
      <c r="U275" s="49"/>
      <c r="V275" s="41"/>
      <c r="W275" s="115"/>
      <c r="X275" s="115"/>
      <c r="Y275" s="115"/>
      <c r="Z275" s="115">
        <v>11020000</v>
      </c>
      <c r="AA275" s="115"/>
      <c r="AB275" s="115"/>
      <c r="AC275" s="113">
        <f t="shared" si="6"/>
        <v>11020000</v>
      </c>
      <c r="AD275" s="108" t="s">
        <v>439</v>
      </c>
      <c r="AE275" s="4" t="s">
        <v>594</v>
      </c>
    </row>
    <row r="276" spans="1:30" ht="14.25" thickBot="1" thickTop="1">
      <c r="A276" s="38">
        <v>36150</v>
      </c>
      <c r="B276" s="39" t="s">
        <v>882</v>
      </c>
      <c r="C276" s="40" t="s">
        <v>883</v>
      </c>
      <c r="D276" s="40" t="s">
        <v>821</v>
      </c>
      <c r="E276" s="48"/>
      <c r="F276" s="48"/>
      <c r="G276" s="48"/>
      <c r="H276" s="48">
        <v>48629</v>
      </c>
      <c r="I276" s="48"/>
      <c r="J276" s="48"/>
      <c r="K276" s="48"/>
      <c r="L276" s="48"/>
      <c r="M276" s="49"/>
      <c r="N276" s="49"/>
      <c r="O276" s="49"/>
      <c r="P276" s="49"/>
      <c r="Q276" s="49"/>
      <c r="R276" s="49"/>
      <c r="S276" s="49"/>
      <c r="T276" s="49"/>
      <c r="U276" s="49"/>
      <c r="V276" s="41"/>
      <c r="W276" s="115"/>
      <c r="X276" s="115"/>
      <c r="Y276" s="115"/>
      <c r="Z276" s="115">
        <v>4408000</v>
      </c>
      <c r="AA276" s="115"/>
      <c r="AB276" s="115"/>
      <c r="AC276" s="113">
        <f t="shared" si="6"/>
        <v>4408000</v>
      </c>
      <c r="AD276" s="108" t="s">
        <v>394</v>
      </c>
    </row>
    <row r="277" spans="1:30" ht="18" thickBot="1" thickTop="1">
      <c r="A277" s="38">
        <v>35974</v>
      </c>
      <c r="B277" s="39" t="s">
        <v>882</v>
      </c>
      <c r="C277" s="40" t="s">
        <v>467</v>
      </c>
      <c r="D277" s="40" t="s">
        <v>821</v>
      </c>
      <c r="E277" s="48"/>
      <c r="F277" s="48"/>
      <c r="G277" s="48"/>
      <c r="H277" s="48">
        <v>283711</v>
      </c>
      <c r="I277" s="48">
        <v>3050</v>
      </c>
      <c r="J277" s="48">
        <v>3050</v>
      </c>
      <c r="K277" s="48">
        <v>610</v>
      </c>
      <c r="L277" s="48">
        <v>70</v>
      </c>
      <c r="M277" s="49">
        <v>540</v>
      </c>
      <c r="N277" s="49"/>
      <c r="O277" s="49"/>
      <c r="P277" s="49"/>
      <c r="Q277" s="49">
        <v>1</v>
      </c>
      <c r="R277" s="49">
        <v>1</v>
      </c>
      <c r="S277" s="49"/>
      <c r="T277" s="49"/>
      <c r="U277" s="49"/>
      <c r="V277" s="41" t="s">
        <v>468</v>
      </c>
      <c r="W277" s="115">
        <v>56405926.4</v>
      </c>
      <c r="X277" s="115">
        <v>13800000</v>
      </c>
      <c r="Y277" s="115">
        <v>12394368</v>
      </c>
      <c r="Z277" s="115"/>
      <c r="AA277" s="115"/>
      <c r="AB277" s="115"/>
      <c r="AC277" s="113">
        <f t="shared" si="6"/>
        <v>82600294.4</v>
      </c>
      <c r="AD277" s="108" t="s">
        <v>469</v>
      </c>
    </row>
    <row r="278" spans="1:30" ht="34.5" thickBot="1" thickTop="1">
      <c r="A278" s="38">
        <v>36054</v>
      </c>
      <c r="B278" s="39" t="s">
        <v>882</v>
      </c>
      <c r="C278" s="40" t="s">
        <v>467</v>
      </c>
      <c r="D278" s="40" t="s">
        <v>821</v>
      </c>
      <c r="E278" s="48"/>
      <c r="F278" s="48"/>
      <c r="G278" s="48"/>
      <c r="H278" s="48">
        <v>283711</v>
      </c>
      <c r="I278" s="48">
        <f>106+68</f>
        <v>174</v>
      </c>
      <c r="J278" s="48">
        <v>0</v>
      </c>
      <c r="K278" s="48">
        <v>32</v>
      </c>
      <c r="L278" s="48"/>
      <c r="M278" s="49"/>
      <c r="N278" s="49"/>
      <c r="O278" s="49"/>
      <c r="P278" s="49"/>
      <c r="Q278" s="49"/>
      <c r="R278" s="49"/>
      <c r="S278" s="49"/>
      <c r="T278" s="49"/>
      <c r="U278" s="49"/>
      <c r="V278" s="41"/>
      <c r="W278" s="115"/>
      <c r="X278" s="115"/>
      <c r="Y278" s="115"/>
      <c r="Z278" s="115"/>
      <c r="AA278" s="115"/>
      <c r="AB278" s="115"/>
      <c r="AC278" s="113">
        <f t="shared" si="6"/>
        <v>0</v>
      </c>
      <c r="AD278" s="108" t="s">
        <v>669</v>
      </c>
    </row>
    <row r="279" spans="1:30" ht="26.25" thickBot="1" thickTop="1">
      <c r="A279" s="38">
        <v>35920</v>
      </c>
      <c r="B279" s="39" t="s">
        <v>310</v>
      </c>
      <c r="C279" s="40" t="s">
        <v>311</v>
      </c>
      <c r="D279" s="40" t="s">
        <v>891</v>
      </c>
      <c r="E279" s="48"/>
      <c r="F279" s="48"/>
      <c r="G279" s="48"/>
      <c r="H279" s="48">
        <v>35046</v>
      </c>
      <c r="I279" s="48"/>
      <c r="J279" s="48"/>
      <c r="K279" s="48"/>
      <c r="L279" s="48"/>
      <c r="M279" s="49"/>
      <c r="N279" s="49"/>
      <c r="O279" s="49"/>
      <c r="P279" s="49"/>
      <c r="Q279" s="49"/>
      <c r="R279" s="49"/>
      <c r="S279" s="49"/>
      <c r="T279" s="49"/>
      <c r="U279" s="49"/>
      <c r="V279" s="41"/>
      <c r="W279" s="115"/>
      <c r="X279" s="115"/>
      <c r="Y279" s="115"/>
      <c r="Z279" s="115"/>
      <c r="AA279" s="115"/>
      <c r="AB279" s="115">
        <v>9000000</v>
      </c>
      <c r="AC279" s="113">
        <f t="shared" si="6"/>
        <v>9000000</v>
      </c>
      <c r="AD279" s="108" t="s">
        <v>312</v>
      </c>
    </row>
    <row r="280" spans="1:30" ht="14.25" thickBot="1" thickTop="1">
      <c r="A280" s="38">
        <v>35983</v>
      </c>
      <c r="B280" s="39" t="s">
        <v>310</v>
      </c>
      <c r="C280" s="40" t="s">
        <v>543</v>
      </c>
      <c r="D280" s="40" t="s">
        <v>821</v>
      </c>
      <c r="E280" s="48"/>
      <c r="F280" s="48"/>
      <c r="G280" s="48"/>
      <c r="H280" s="48">
        <v>3288</v>
      </c>
      <c r="I280" s="48">
        <v>600</v>
      </c>
      <c r="J280" s="48">
        <v>600</v>
      </c>
      <c r="K280" s="48">
        <v>120</v>
      </c>
      <c r="L280" s="48">
        <v>6</v>
      </c>
      <c r="M280" s="49">
        <v>120</v>
      </c>
      <c r="N280" s="49"/>
      <c r="O280" s="49"/>
      <c r="P280" s="49"/>
      <c r="Q280" s="49"/>
      <c r="R280" s="49"/>
      <c r="S280" s="49"/>
      <c r="T280" s="49"/>
      <c r="U280" s="49"/>
      <c r="V280" s="41" t="s">
        <v>94</v>
      </c>
      <c r="W280" s="115">
        <v>12766496.850000001</v>
      </c>
      <c r="X280" s="115">
        <v>2760000</v>
      </c>
      <c r="Y280" s="115"/>
      <c r="Z280" s="115"/>
      <c r="AA280" s="115"/>
      <c r="AB280" s="115"/>
      <c r="AC280" s="113">
        <f t="shared" si="6"/>
        <v>15526496.850000001</v>
      </c>
      <c r="AD280" s="108"/>
    </row>
    <row r="281" spans="1:30" ht="18" thickBot="1" thickTop="1">
      <c r="A281" s="38">
        <v>35983</v>
      </c>
      <c r="B281" s="39" t="s">
        <v>310</v>
      </c>
      <c r="C281" s="40" t="s">
        <v>555</v>
      </c>
      <c r="D281" s="40" t="s">
        <v>821</v>
      </c>
      <c r="E281" s="48">
        <v>3</v>
      </c>
      <c r="F281" s="48"/>
      <c r="G281" s="48"/>
      <c r="H281" s="48"/>
      <c r="I281" s="48">
        <v>374</v>
      </c>
      <c r="J281" s="48">
        <v>374</v>
      </c>
      <c r="K281" s="48">
        <v>50</v>
      </c>
      <c r="L281" s="48">
        <v>10</v>
      </c>
      <c r="M281" s="49"/>
      <c r="N281" s="49">
        <v>7</v>
      </c>
      <c r="O281" s="49">
        <v>7</v>
      </c>
      <c r="P281" s="49"/>
      <c r="Q281" s="49"/>
      <c r="R281" s="49"/>
      <c r="S281" s="49"/>
      <c r="T281" s="49"/>
      <c r="U281" s="49"/>
      <c r="V281" s="41" t="s">
        <v>556</v>
      </c>
      <c r="W281" s="115">
        <v>3725515.5</v>
      </c>
      <c r="X281" s="115">
        <v>1150000</v>
      </c>
      <c r="Y281" s="115"/>
      <c r="Z281" s="115"/>
      <c r="AA281" s="115"/>
      <c r="AB281" s="115"/>
      <c r="AC281" s="113">
        <f t="shared" si="6"/>
        <v>4875515.5</v>
      </c>
      <c r="AD281" s="108"/>
    </row>
    <row r="282" spans="1:30" ht="14.25" thickBot="1" thickTop="1">
      <c r="A282" s="38">
        <v>36014</v>
      </c>
      <c r="B282" s="39" t="s">
        <v>310</v>
      </c>
      <c r="C282" s="40" t="s">
        <v>553</v>
      </c>
      <c r="D282" s="40" t="s">
        <v>821</v>
      </c>
      <c r="E282" s="48"/>
      <c r="F282" s="48"/>
      <c r="G282" s="48"/>
      <c r="H282" s="48">
        <v>4125</v>
      </c>
      <c r="I282" s="48">
        <v>120</v>
      </c>
      <c r="J282" s="48">
        <v>120</v>
      </c>
      <c r="K282" s="48">
        <v>40</v>
      </c>
      <c r="L282" s="48"/>
      <c r="M282" s="49"/>
      <c r="N282" s="49"/>
      <c r="O282" s="49">
        <v>1</v>
      </c>
      <c r="P282" s="49"/>
      <c r="Q282" s="49"/>
      <c r="R282" s="49"/>
      <c r="S282" s="49"/>
      <c r="T282" s="49">
        <v>1</v>
      </c>
      <c r="U282" s="49"/>
      <c r="V282" s="41" t="s">
        <v>554</v>
      </c>
      <c r="W282" s="115">
        <v>1485700.8</v>
      </c>
      <c r="X282" s="115">
        <v>920000</v>
      </c>
      <c r="Y282" s="115"/>
      <c r="Z282" s="115"/>
      <c r="AA282" s="115"/>
      <c r="AB282" s="115"/>
      <c r="AC282" s="113">
        <f t="shared" si="6"/>
        <v>2405700.8</v>
      </c>
      <c r="AD282" s="108"/>
    </row>
    <row r="283" spans="1:30" ht="14.25" thickBot="1" thickTop="1">
      <c r="A283" s="38">
        <v>35983</v>
      </c>
      <c r="B283" s="39" t="s">
        <v>310</v>
      </c>
      <c r="C283" s="40" t="s">
        <v>548</v>
      </c>
      <c r="D283" s="40" t="s">
        <v>821</v>
      </c>
      <c r="E283" s="48"/>
      <c r="F283" s="48"/>
      <c r="G283" s="48"/>
      <c r="H283" s="48">
        <v>2848</v>
      </c>
      <c r="I283" s="48">
        <v>435</v>
      </c>
      <c r="J283" s="48">
        <v>435</v>
      </c>
      <c r="K283" s="48">
        <v>90</v>
      </c>
      <c r="L283" s="48"/>
      <c r="M283" s="49"/>
      <c r="N283" s="49"/>
      <c r="O283" s="49"/>
      <c r="P283" s="49"/>
      <c r="Q283" s="49"/>
      <c r="R283" s="49"/>
      <c r="S283" s="49"/>
      <c r="T283" s="49"/>
      <c r="U283" s="49"/>
      <c r="V283" s="41" t="s">
        <v>549</v>
      </c>
      <c r="W283" s="115">
        <v>9826406.31</v>
      </c>
      <c r="X283" s="115">
        <v>2070000</v>
      </c>
      <c r="Y283" s="115"/>
      <c r="Z283" s="115"/>
      <c r="AA283" s="115"/>
      <c r="AB283" s="115"/>
      <c r="AC283" s="113">
        <f t="shared" si="6"/>
        <v>11896406.31</v>
      </c>
      <c r="AD283" s="108" t="s">
        <v>550</v>
      </c>
    </row>
    <row r="284" spans="1:30" ht="14.25" thickBot="1" thickTop="1">
      <c r="A284" s="38">
        <v>35983</v>
      </c>
      <c r="B284" s="39" t="s">
        <v>310</v>
      </c>
      <c r="C284" s="40" t="s">
        <v>546</v>
      </c>
      <c r="D284" s="40" t="s">
        <v>821</v>
      </c>
      <c r="E284" s="48"/>
      <c r="F284" s="48"/>
      <c r="G284" s="48"/>
      <c r="H284" s="48">
        <v>8317</v>
      </c>
      <c r="I284" s="48">
        <v>300</v>
      </c>
      <c r="J284" s="48">
        <v>300</v>
      </c>
      <c r="K284" s="48">
        <v>50</v>
      </c>
      <c r="L284" s="48"/>
      <c r="M284" s="49"/>
      <c r="N284" s="49"/>
      <c r="O284" s="49"/>
      <c r="P284" s="49"/>
      <c r="Q284" s="49"/>
      <c r="R284" s="49"/>
      <c r="S284" s="49"/>
      <c r="T284" s="49"/>
      <c r="U284" s="49"/>
      <c r="V284" s="41" t="s">
        <v>94</v>
      </c>
      <c r="W284" s="115">
        <v>1540019.5</v>
      </c>
      <c r="X284" s="115">
        <v>1150000</v>
      </c>
      <c r="Y284" s="115"/>
      <c r="Z284" s="115"/>
      <c r="AA284" s="115"/>
      <c r="AB284" s="115"/>
      <c r="AC284" s="113">
        <f t="shared" si="6"/>
        <v>2690019.5</v>
      </c>
      <c r="AD284" s="108"/>
    </row>
    <row r="285" spans="1:30" ht="14.25" thickBot="1" thickTop="1">
      <c r="A285" s="38">
        <v>36125</v>
      </c>
      <c r="B285" s="39" t="s">
        <v>310</v>
      </c>
      <c r="C285" s="40" t="s">
        <v>341</v>
      </c>
      <c r="D285" s="40" t="s">
        <v>821</v>
      </c>
      <c r="E285" s="48"/>
      <c r="F285" s="48"/>
      <c r="G285" s="48"/>
      <c r="H285" s="48">
        <v>7530</v>
      </c>
      <c r="I285" s="48">
        <v>5</v>
      </c>
      <c r="J285" s="48">
        <v>5</v>
      </c>
      <c r="K285" s="48">
        <v>1</v>
      </c>
      <c r="L285" s="48"/>
      <c r="M285" s="49"/>
      <c r="N285" s="49"/>
      <c r="O285" s="49"/>
      <c r="P285" s="49"/>
      <c r="Q285" s="49"/>
      <c r="R285" s="49"/>
      <c r="S285" s="49"/>
      <c r="T285" s="49"/>
      <c r="U285" s="49"/>
      <c r="V285" s="41"/>
      <c r="W285" s="115">
        <v>335700.94</v>
      </c>
      <c r="X285" s="115"/>
      <c r="Y285" s="115"/>
      <c r="Z285" s="115"/>
      <c r="AA285" s="115"/>
      <c r="AB285" s="115"/>
      <c r="AC285" s="113">
        <f t="shared" si="6"/>
        <v>335700.94</v>
      </c>
      <c r="AD285" s="108"/>
    </row>
    <row r="286" spans="1:30" ht="14.25" thickBot="1" thickTop="1">
      <c r="A286" s="38">
        <v>35983</v>
      </c>
      <c r="B286" s="39" t="s">
        <v>310</v>
      </c>
      <c r="C286" s="40" t="s">
        <v>558</v>
      </c>
      <c r="D286" s="40" t="s">
        <v>821</v>
      </c>
      <c r="E286" s="48"/>
      <c r="F286" s="48"/>
      <c r="G286" s="48"/>
      <c r="H286" s="48">
        <v>12700</v>
      </c>
      <c r="I286" s="48">
        <v>450</v>
      </c>
      <c r="J286" s="48">
        <v>450</v>
      </c>
      <c r="K286" s="48">
        <v>120</v>
      </c>
      <c r="L286" s="48">
        <v>1</v>
      </c>
      <c r="M286" s="49">
        <v>60</v>
      </c>
      <c r="N286" s="49"/>
      <c r="O286" s="49"/>
      <c r="P286" s="49"/>
      <c r="Q286" s="49"/>
      <c r="R286" s="49"/>
      <c r="S286" s="49"/>
      <c r="T286" s="49"/>
      <c r="U286" s="49"/>
      <c r="V286" s="41" t="s">
        <v>94</v>
      </c>
      <c r="W286" s="115">
        <v>7521306.45</v>
      </c>
      <c r="X286" s="115">
        <v>2760000</v>
      </c>
      <c r="Y286" s="115"/>
      <c r="Z286" s="115"/>
      <c r="AA286" s="115"/>
      <c r="AB286" s="115"/>
      <c r="AC286" s="113">
        <f t="shared" si="6"/>
        <v>10281306.45</v>
      </c>
      <c r="AD286" s="108"/>
    </row>
    <row r="287" spans="1:30" ht="18" thickBot="1" thickTop="1">
      <c r="A287" s="38">
        <v>35989</v>
      </c>
      <c r="B287" s="39" t="s">
        <v>310</v>
      </c>
      <c r="C287" s="40" t="s">
        <v>541</v>
      </c>
      <c r="D287" s="40" t="s">
        <v>821</v>
      </c>
      <c r="E287" s="48"/>
      <c r="F287" s="48"/>
      <c r="G287" s="48"/>
      <c r="H287" s="48">
        <v>8811</v>
      </c>
      <c r="I287" s="48">
        <v>1200</v>
      </c>
      <c r="J287" s="48">
        <v>1200</v>
      </c>
      <c r="K287" s="48">
        <v>240</v>
      </c>
      <c r="L287" s="48"/>
      <c r="M287" s="49">
        <v>240</v>
      </c>
      <c r="N287" s="49"/>
      <c r="O287" s="49"/>
      <c r="P287" s="49"/>
      <c r="Q287" s="49"/>
      <c r="R287" s="49"/>
      <c r="S287" s="49"/>
      <c r="T287" s="49"/>
      <c r="U287" s="49"/>
      <c r="V287" s="41" t="s">
        <v>94</v>
      </c>
      <c r="W287" s="115">
        <v>25532993.700000003</v>
      </c>
      <c r="X287" s="115">
        <v>5520000</v>
      </c>
      <c r="Y287" s="115"/>
      <c r="Z287" s="115"/>
      <c r="AA287" s="115"/>
      <c r="AB287" s="115"/>
      <c r="AC287" s="113">
        <f t="shared" si="6"/>
        <v>31052993.700000003</v>
      </c>
      <c r="AD287" s="108" t="s">
        <v>542</v>
      </c>
    </row>
    <row r="288" spans="1:30" ht="24" thickBot="1" thickTop="1">
      <c r="A288" s="38">
        <v>35983</v>
      </c>
      <c r="B288" s="39" t="s">
        <v>310</v>
      </c>
      <c r="C288" s="40" t="s">
        <v>544</v>
      </c>
      <c r="D288" s="40" t="s">
        <v>821</v>
      </c>
      <c r="E288" s="48"/>
      <c r="F288" s="48"/>
      <c r="G288" s="48"/>
      <c r="H288" s="48">
        <v>9262</v>
      </c>
      <c r="I288" s="48">
        <v>240</v>
      </c>
      <c r="J288" s="48">
        <v>240</v>
      </c>
      <c r="K288" s="48">
        <v>48</v>
      </c>
      <c r="L288" s="48"/>
      <c r="M288" s="49">
        <v>48</v>
      </c>
      <c r="N288" s="49"/>
      <c r="O288" s="49"/>
      <c r="P288" s="49"/>
      <c r="Q288" s="49"/>
      <c r="R288" s="49"/>
      <c r="S288" s="49"/>
      <c r="T288" s="49"/>
      <c r="U288" s="49"/>
      <c r="V288" s="41" t="s">
        <v>94</v>
      </c>
      <c r="W288" s="115">
        <v>4680810.6</v>
      </c>
      <c r="X288" s="115">
        <v>1380000</v>
      </c>
      <c r="Y288" s="115"/>
      <c r="Z288" s="115"/>
      <c r="AA288" s="115"/>
      <c r="AB288" s="115"/>
      <c r="AC288" s="113">
        <f t="shared" si="6"/>
        <v>6060810.6</v>
      </c>
      <c r="AD288" s="108"/>
    </row>
    <row r="289" spans="1:30" ht="14.25" thickBot="1" thickTop="1">
      <c r="A289" s="38">
        <v>35983</v>
      </c>
      <c r="B289" s="39" t="s">
        <v>310</v>
      </c>
      <c r="C289" s="40" t="s">
        <v>557</v>
      </c>
      <c r="D289" s="40" t="s">
        <v>821</v>
      </c>
      <c r="E289" s="48"/>
      <c r="F289" s="48"/>
      <c r="G289" s="48"/>
      <c r="H289" s="48">
        <v>10684</v>
      </c>
      <c r="I289" s="48">
        <v>600</v>
      </c>
      <c r="J289" s="48">
        <v>600</v>
      </c>
      <c r="K289" s="48">
        <v>120</v>
      </c>
      <c r="L289" s="48"/>
      <c r="M289" s="49"/>
      <c r="N289" s="49">
        <v>1</v>
      </c>
      <c r="O289" s="49"/>
      <c r="P289" s="49"/>
      <c r="Q289" s="49"/>
      <c r="R289" s="49"/>
      <c r="S289" s="49"/>
      <c r="T289" s="49"/>
      <c r="U289" s="49"/>
      <c r="V289" s="41" t="s">
        <v>94</v>
      </c>
      <c r="W289" s="115">
        <v>8941237.2</v>
      </c>
      <c r="X289" s="115">
        <v>2760000</v>
      </c>
      <c r="Y289" s="115"/>
      <c r="Z289" s="115"/>
      <c r="AA289" s="115"/>
      <c r="AB289" s="115"/>
      <c r="AC289" s="113">
        <f t="shared" si="6"/>
        <v>11701237.2</v>
      </c>
      <c r="AD289" s="108"/>
    </row>
    <row r="290" spans="1:30" ht="14.25" thickBot="1" thickTop="1">
      <c r="A290" s="38">
        <v>35983</v>
      </c>
      <c r="B290" s="39" t="s">
        <v>310</v>
      </c>
      <c r="C290" s="40" t="s">
        <v>545</v>
      </c>
      <c r="D290" s="40" t="s">
        <v>821</v>
      </c>
      <c r="E290" s="48"/>
      <c r="F290" s="48"/>
      <c r="G290" s="48"/>
      <c r="H290" s="48">
        <v>14793</v>
      </c>
      <c r="I290" s="48">
        <v>300</v>
      </c>
      <c r="J290" s="48">
        <v>300</v>
      </c>
      <c r="K290" s="48">
        <v>50</v>
      </c>
      <c r="L290" s="48"/>
      <c r="M290" s="49"/>
      <c r="N290" s="49">
        <v>1</v>
      </c>
      <c r="O290" s="49"/>
      <c r="P290" s="49"/>
      <c r="Q290" s="49"/>
      <c r="R290" s="49"/>
      <c r="S290" s="49"/>
      <c r="T290" s="49"/>
      <c r="U290" s="49"/>
      <c r="V290" s="41" t="s">
        <v>94</v>
      </c>
      <c r="W290" s="115">
        <v>5430779.36</v>
      </c>
      <c r="X290" s="115">
        <v>1150000</v>
      </c>
      <c r="Y290" s="115"/>
      <c r="Z290" s="115"/>
      <c r="AA290" s="115"/>
      <c r="AB290" s="115"/>
      <c r="AC290" s="113">
        <f t="shared" si="6"/>
        <v>6580779.36</v>
      </c>
      <c r="AD290" s="108"/>
    </row>
    <row r="291" spans="1:30" ht="14.25" thickBot="1" thickTop="1">
      <c r="A291" s="38">
        <v>35861</v>
      </c>
      <c r="B291" s="39" t="s">
        <v>889</v>
      </c>
      <c r="C291" s="40" t="s">
        <v>88</v>
      </c>
      <c r="D291" s="40" t="s">
        <v>911</v>
      </c>
      <c r="E291" s="48"/>
      <c r="F291" s="48"/>
      <c r="G291" s="48"/>
      <c r="H291" s="48">
        <v>4974</v>
      </c>
      <c r="I291" s="48">
        <v>250</v>
      </c>
      <c r="J291" s="48">
        <v>0</v>
      </c>
      <c r="K291" s="48">
        <v>50</v>
      </c>
      <c r="L291" s="48"/>
      <c r="M291" s="49">
        <v>50</v>
      </c>
      <c r="N291" s="49"/>
      <c r="O291" s="49"/>
      <c r="P291" s="49"/>
      <c r="Q291" s="49"/>
      <c r="R291" s="49"/>
      <c r="S291" s="49"/>
      <c r="T291" s="49"/>
      <c r="U291" s="49"/>
      <c r="V291" s="41" t="s">
        <v>94</v>
      </c>
      <c r="W291" s="115"/>
      <c r="X291" s="115"/>
      <c r="Y291" s="115"/>
      <c r="Z291" s="115"/>
      <c r="AA291" s="115"/>
      <c r="AB291" s="115"/>
      <c r="AC291" s="113">
        <f t="shared" si="6"/>
        <v>0</v>
      </c>
      <c r="AD291" s="108" t="s">
        <v>89</v>
      </c>
    </row>
    <row r="292" spans="1:30" ht="26.25" thickBot="1" thickTop="1">
      <c r="A292" s="38">
        <v>36083</v>
      </c>
      <c r="B292" s="39" t="s">
        <v>889</v>
      </c>
      <c r="C292" s="40" t="s">
        <v>88</v>
      </c>
      <c r="D292" s="40" t="s">
        <v>821</v>
      </c>
      <c r="E292" s="48"/>
      <c r="F292" s="48"/>
      <c r="G292" s="48"/>
      <c r="H292" s="48">
        <v>4974</v>
      </c>
      <c r="I292" s="48">
        <v>24</v>
      </c>
      <c r="J292" s="48">
        <v>0</v>
      </c>
      <c r="K292" s="48">
        <v>8</v>
      </c>
      <c r="L292" s="48"/>
      <c r="M292" s="49">
        <v>8</v>
      </c>
      <c r="N292" s="49"/>
      <c r="O292" s="49"/>
      <c r="P292" s="49"/>
      <c r="Q292" s="49"/>
      <c r="R292" s="49"/>
      <c r="S292" s="49"/>
      <c r="T292" s="49"/>
      <c r="U292" s="49"/>
      <c r="V292" s="41"/>
      <c r="W292" s="115"/>
      <c r="X292" s="115"/>
      <c r="Y292" s="115"/>
      <c r="Z292" s="115"/>
      <c r="AA292" s="115"/>
      <c r="AB292" s="115"/>
      <c r="AC292" s="113">
        <f t="shared" si="6"/>
        <v>0</v>
      </c>
      <c r="AD292" s="108" t="s">
        <v>7</v>
      </c>
    </row>
    <row r="293" spans="1:30" ht="14.25" thickBot="1" thickTop="1">
      <c r="A293" s="38">
        <v>36116</v>
      </c>
      <c r="B293" s="39" t="s">
        <v>889</v>
      </c>
      <c r="C293" s="40" t="s">
        <v>88</v>
      </c>
      <c r="D293" s="40" t="s">
        <v>821</v>
      </c>
      <c r="E293" s="48"/>
      <c r="F293" s="48"/>
      <c r="G293" s="48"/>
      <c r="H293" s="48">
        <v>4974</v>
      </c>
      <c r="I293" s="48">
        <v>40</v>
      </c>
      <c r="J293" s="48">
        <v>0</v>
      </c>
      <c r="K293" s="48">
        <v>8</v>
      </c>
      <c r="L293" s="48"/>
      <c r="M293" s="49">
        <v>8</v>
      </c>
      <c r="N293" s="49"/>
      <c r="O293" s="49"/>
      <c r="P293" s="49"/>
      <c r="Q293" s="49"/>
      <c r="R293" s="49"/>
      <c r="S293" s="49"/>
      <c r="T293" s="49"/>
      <c r="U293" s="49"/>
      <c r="V293" s="41"/>
      <c r="W293" s="115"/>
      <c r="X293" s="115"/>
      <c r="Y293" s="115"/>
      <c r="Z293" s="115"/>
      <c r="AA293" s="115"/>
      <c r="AB293" s="115"/>
      <c r="AC293" s="113">
        <f t="shared" si="6"/>
        <v>0</v>
      </c>
      <c r="AD293" s="108" t="s">
        <v>640</v>
      </c>
    </row>
    <row r="294" spans="1:30" ht="14.25" thickBot="1" thickTop="1">
      <c r="A294" s="38">
        <v>35813</v>
      </c>
      <c r="B294" s="40" t="s">
        <v>889</v>
      </c>
      <c r="C294" s="40" t="s">
        <v>890</v>
      </c>
      <c r="D294" s="40" t="s">
        <v>891</v>
      </c>
      <c r="E294" s="48"/>
      <c r="F294" s="48"/>
      <c r="G294" s="48"/>
      <c r="H294" s="48"/>
      <c r="I294" s="48">
        <v>50</v>
      </c>
      <c r="J294" s="48">
        <v>0</v>
      </c>
      <c r="K294" s="48">
        <v>10</v>
      </c>
      <c r="L294" s="48">
        <v>10</v>
      </c>
      <c r="M294" s="49"/>
      <c r="N294" s="49"/>
      <c r="O294" s="49"/>
      <c r="P294" s="49"/>
      <c r="Q294" s="49"/>
      <c r="R294" s="49"/>
      <c r="S294" s="49"/>
      <c r="T294" s="49"/>
      <c r="U294" s="49">
        <v>1</v>
      </c>
      <c r="V294" s="41"/>
      <c r="W294" s="115"/>
      <c r="X294" s="115"/>
      <c r="Y294" s="115"/>
      <c r="Z294" s="115"/>
      <c r="AA294" s="115"/>
      <c r="AB294" s="115"/>
      <c r="AC294" s="113">
        <f t="shared" si="6"/>
        <v>0</v>
      </c>
      <c r="AD294" s="108" t="s">
        <v>892</v>
      </c>
    </row>
    <row r="295" spans="1:30" ht="14.25" thickBot="1" thickTop="1">
      <c r="A295" s="38">
        <v>35916</v>
      </c>
      <c r="B295" s="39" t="s">
        <v>889</v>
      </c>
      <c r="C295" s="40" t="s">
        <v>890</v>
      </c>
      <c r="D295" s="40" t="s">
        <v>891</v>
      </c>
      <c r="E295" s="48"/>
      <c r="F295" s="48">
        <v>7</v>
      </c>
      <c r="G295" s="48"/>
      <c r="H295" s="48"/>
      <c r="I295" s="48">
        <v>350</v>
      </c>
      <c r="J295" s="48">
        <v>350</v>
      </c>
      <c r="K295" s="48">
        <v>35</v>
      </c>
      <c r="L295" s="48">
        <v>15</v>
      </c>
      <c r="M295" s="49">
        <v>5</v>
      </c>
      <c r="N295" s="49"/>
      <c r="O295" s="49"/>
      <c r="P295" s="49"/>
      <c r="Q295" s="49"/>
      <c r="R295" s="49"/>
      <c r="S295" s="49"/>
      <c r="T295" s="49">
        <v>1</v>
      </c>
      <c r="U295" s="49">
        <v>2</v>
      </c>
      <c r="V295" s="41"/>
      <c r="W295" s="115">
        <v>1618692</v>
      </c>
      <c r="X295" s="115">
        <v>6900000</v>
      </c>
      <c r="Y295" s="115">
        <v>3442880</v>
      </c>
      <c r="Z295" s="115"/>
      <c r="AA295" s="115"/>
      <c r="AB295" s="115"/>
      <c r="AC295" s="113">
        <f t="shared" si="6"/>
        <v>11961572</v>
      </c>
      <c r="AD295" s="108"/>
    </row>
    <row r="296" spans="1:30" ht="24" thickBot="1" thickTop="1">
      <c r="A296" s="38">
        <v>35891</v>
      </c>
      <c r="B296" s="39" t="s">
        <v>889</v>
      </c>
      <c r="C296" s="40" t="s">
        <v>162</v>
      </c>
      <c r="D296" s="40" t="s">
        <v>911</v>
      </c>
      <c r="E296" s="48"/>
      <c r="F296" s="48"/>
      <c r="G296" s="48"/>
      <c r="H296" s="48">
        <v>21495</v>
      </c>
      <c r="I296" s="48"/>
      <c r="J296" s="48"/>
      <c r="K296" s="48"/>
      <c r="L296" s="48"/>
      <c r="M296" s="49"/>
      <c r="N296" s="49"/>
      <c r="O296" s="49"/>
      <c r="P296" s="49"/>
      <c r="Q296" s="49"/>
      <c r="R296" s="49"/>
      <c r="S296" s="49"/>
      <c r="T296" s="49"/>
      <c r="U296" s="49"/>
      <c r="V296" s="41"/>
      <c r="W296" s="115"/>
      <c r="X296" s="115"/>
      <c r="Y296" s="115">
        <v>6883440</v>
      </c>
      <c r="Z296" s="115"/>
      <c r="AA296" s="115"/>
      <c r="AB296" s="115"/>
      <c r="AC296" s="113">
        <f t="shared" si="6"/>
        <v>6883440</v>
      </c>
      <c r="AD296" s="108"/>
    </row>
    <row r="297" spans="1:30" ht="26.25" thickBot="1" thickTop="1">
      <c r="A297" s="38">
        <v>35989</v>
      </c>
      <c r="B297" s="39" t="s">
        <v>889</v>
      </c>
      <c r="C297" s="40" t="s">
        <v>162</v>
      </c>
      <c r="D297" s="40" t="s">
        <v>911</v>
      </c>
      <c r="E297" s="48"/>
      <c r="F297" s="48"/>
      <c r="G297" s="48"/>
      <c r="H297" s="48">
        <v>21495</v>
      </c>
      <c r="I297" s="48">
        <f>13*5</f>
        <v>65</v>
      </c>
      <c r="J297" s="48">
        <v>0</v>
      </c>
      <c r="K297" s="48">
        <v>13</v>
      </c>
      <c r="L297" s="48"/>
      <c r="M297" s="49">
        <v>13</v>
      </c>
      <c r="N297" s="49"/>
      <c r="O297" s="49"/>
      <c r="P297" s="49"/>
      <c r="Q297" s="49"/>
      <c r="R297" s="49"/>
      <c r="S297" s="49"/>
      <c r="T297" s="49"/>
      <c r="U297" s="49"/>
      <c r="V297" s="41"/>
      <c r="W297" s="115"/>
      <c r="X297" s="115"/>
      <c r="Y297" s="115"/>
      <c r="Z297" s="115"/>
      <c r="AA297" s="115"/>
      <c r="AB297" s="115"/>
      <c r="AC297" s="113">
        <f aca="true" t="shared" si="7" ref="AC297:AC350">+W297+X297+Y297+Z297+AA297+AB297</f>
        <v>0</v>
      </c>
      <c r="AD297" s="108" t="s">
        <v>756</v>
      </c>
    </row>
    <row r="298" spans="1:30" ht="14.25" thickBot="1" thickTop="1">
      <c r="A298" s="38">
        <v>36117</v>
      </c>
      <c r="B298" s="39" t="s">
        <v>889</v>
      </c>
      <c r="C298" s="40" t="s">
        <v>315</v>
      </c>
      <c r="D298" s="40" t="s">
        <v>821</v>
      </c>
      <c r="E298" s="48"/>
      <c r="F298" s="48"/>
      <c r="G298" s="48"/>
      <c r="H298" s="48">
        <v>294024</v>
      </c>
      <c r="I298" s="48">
        <v>102</v>
      </c>
      <c r="J298" s="48">
        <v>102</v>
      </c>
      <c r="K298" s="48">
        <v>22</v>
      </c>
      <c r="L298" s="48"/>
      <c r="M298" s="49"/>
      <c r="N298" s="49"/>
      <c r="O298" s="49"/>
      <c r="P298" s="49"/>
      <c r="Q298" s="49"/>
      <c r="R298" s="49"/>
      <c r="S298" s="49"/>
      <c r="T298" s="49"/>
      <c r="U298" s="49"/>
      <c r="V298" s="41"/>
      <c r="W298" s="115">
        <v>3916048.43</v>
      </c>
      <c r="X298" s="115"/>
      <c r="Y298" s="115"/>
      <c r="Z298" s="115"/>
      <c r="AA298" s="115"/>
      <c r="AB298" s="115"/>
      <c r="AC298" s="113">
        <f t="shared" si="7"/>
        <v>3916048.43</v>
      </c>
      <c r="AD298" s="108" t="s">
        <v>334</v>
      </c>
    </row>
    <row r="299" spans="1:30" ht="14.25" thickBot="1" thickTop="1">
      <c r="A299" s="38">
        <v>35943</v>
      </c>
      <c r="B299" s="39" t="s">
        <v>889</v>
      </c>
      <c r="C299" s="40" t="s">
        <v>319</v>
      </c>
      <c r="D299" s="40" t="s">
        <v>911</v>
      </c>
      <c r="E299" s="48"/>
      <c r="F299" s="48"/>
      <c r="G299" s="48"/>
      <c r="H299" s="48"/>
      <c r="I299" s="48"/>
      <c r="J299" s="48"/>
      <c r="K299" s="48"/>
      <c r="L299" s="48"/>
      <c r="M299" s="49"/>
      <c r="N299" s="49"/>
      <c r="O299" s="49"/>
      <c r="P299" s="49"/>
      <c r="Q299" s="49"/>
      <c r="R299" s="49"/>
      <c r="S299" s="49"/>
      <c r="T299" s="49"/>
      <c r="U299" s="49"/>
      <c r="V299" s="41"/>
      <c r="W299" s="115"/>
      <c r="X299" s="115"/>
      <c r="Y299" s="115">
        <v>6883440</v>
      </c>
      <c r="Z299" s="115"/>
      <c r="AA299" s="115"/>
      <c r="AB299" s="115"/>
      <c r="AC299" s="113">
        <f t="shared" si="7"/>
        <v>6883440</v>
      </c>
      <c r="AD299" s="108"/>
    </row>
    <row r="300" spans="1:30" ht="14.25" thickBot="1" thickTop="1">
      <c r="A300" s="38">
        <v>35855</v>
      </c>
      <c r="B300" s="39" t="s">
        <v>889</v>
      </c>
      <c r="C300" s="40" t="s">
        <v>85</v>
      </c>
      <c r="D300" s="40" t="s">
        <v>25</v>
      </c>
      <c r="E300" s="48"/>
      <c r="F300" s="48"/>
      <c r="G300" s="48"/>
      <c r="H300" s="48">
        <v>115674</v>
      </c>
      <c r="I300" s="48">
        <v>150</v>
      </c>
      <c r="J300" s="48">
        <v>0</v>
      </c>
      <c r="K300" s="48">
        <v>30</v>
      </c>
      <c r="L300" s="48"/>
      <c r="M300" s="49">
        <v>30</v>
      </c>
      <c r="N300" s="49"/>
      <c r="O300" s="49"/>
      <c r="P300" s="49"/>
      <c r="Q300" s="49"/>
      <c r="R300" s="49"/>
      <c r="S300" s="49"/>
      <c r="T300" s="49"/>
      <c r="U300" s="49"/>
      <c r="V300" s="41"/>
      <c r="W300" s="115"/>
      <c r="X300" s="115"/>
      <c r="Y300" s="115"/>
      <c r="Z300" s="115"/>
      <c r="AA300" s="115"/>
      <c r="AB300" s="115"/>
      <c r="AC300" s="113">
        <f t="shared" si="7"/>
        <v>0</v>
      </c>
      <c r="AD300" s="108" t="s">
        <v>91</v>
      </c>
    </row>
    <row r="301" spans="1:30" ht="14.25" thickBot="1" thickTop="1">
      <c r="A301" s="38">
        <v>35874</v>
      </c>
      <c r="B301" s="39" t="s">
        <v>889</v>
      </c>
      <c r="C301" s="40" t="s">
        <v>85</v>
      </c>
      <c r="D301" s="40" t="s">
        <v>25</v>
      </c>
      <c r="E301" s="48"/>
      <c r="F301" s="48"/>
      <c r="G301" s="48"/>
      <c r="H301" s="48">
        <v>115674</v>
      </c>
      <c r="I301" s="48">
        <v>125</v>
      </c>
      <c r="J301" s="48">
        <v>125</v>
      </c>
      <c r="K301" s="48">
        <v>25</v>
      </c>
      <c r="L301" s="48">
        <v>25</v>
      </c>
      <c r="M301" s="49"/>
      <c r="N301" s="49"/>
      <c r="O301" s="49"/>
      <c r="P301" s="49"/>
      <c r="Q301" s="49"/>
      <c r="R301" s="49"/>
      <c r="S301" s="49"/>
      <c r="T301" s="49"/>
      <c r="U301" s="49"/>
      <c r="V301" s="41"/>
      <c r="W301" s="115">
        <v>2550173.1</v>
      </c>
      <c r="X301" s="115"/>
      <c r="Y301" s="115">
        <v>4818408</v>
      </c>
      <c r="Z301" s="115"/>
      <c r="AA301" s="115"/>
      <c r="AB301" s="115"/>
      <c r="AC301" s="113">
        <f t="shared" si="7"/>
        <v>7368581.1</v>
      </c>
      <c r="AD301" s="108" t="s">
        <v>90</v>
      </c>
    </row>
    <row r="302" spans="1:30" ht="14.25" thickBot="1" thickTop="1">
      <c r="A302" s="38">
        <v>36026</v>
      </c>
      <c r="B302" s="39" t="s">
        <v>889</v>
      </c>
      <c r="C302" s="40" t="s">
        <v>85</v>
      </c>
      <c r="D302" s="40" t="s">
        <v>879</v>
      </c>
      <c r="E302" s="48"/>
      <c r="F302" s="48"/>
      <c r="G302" s="48"/>
      <c r="H302" s="48">
        <v>115674</v>
      </c>
      <c r="I302" s="48">
        <v>20</v>
      </c>
      <c r="J302" s="48">
        <v>0</v>
      </c>
      <c r="K302" s="48">
        <v>4</v>
      </c>
      <c r="L302" s="48">
        <v>4</v>
      </c>
      <c r="M302" s="49"/>
      <c r="N302" s="49"/>
      <c r="O302" s="49"/>
      <c r="P302" s="49"/>
      <c r="Q302" s="49"/>
      <c r="R302" s="49"/>
      <c r="S302" s="49"/>
      <c r="T302" s="49"/>
      <c r="U302" s="49"/>
      <c r="V302" s="41"/>
      <c r="W302" s="115"/>
      <c r="X302" s="115"/>
      <c r="Y302" s="115"/>
      <c r="Z302" s="115"/>
      <c r="AA302" s="115"/>
      <c r="AB302" s="115"/>
      <c r="AC302" s="113">
        <f t="shared" si="7"/>
        <v>0</v>
      </c>
      <c r="AD302" s="108" t="s">
        <v>670</v>
      </c>
    </row>
    <row r="303" spans="1:30" ht="24" thickBot="1" thickTop="1">
      <c r="A303" s="38">
        <v>35977</v>
      </c>
      <c r="B303" s="39" t="s">
        <v>893</v>
      </c>
      <c r="C303" s="40" t="s">
        <v>560</v>
      </c>
      <c r="D303" s="40" t="s">
        <v>911</v>
      </c>
      <c r="E303" s="48"/>
      <c r="F303" s="48"/>
      <c r="G303" s="48"/>
      <c r="H303" s="48">
        <v>31459</v>
      </c>
      <c r="I303" s="48">
        <v>288</v>
      </c>
      <c r="J303" s="48">
        <v>288</v>
      </c>
      <c r="K303" s="48">
        <v>48</v>
      </c>
      <c r="L303" s="48"/>
      <c r="M303" s="49">
        <v>48</v>
      </c>
      <c r="N303" s="49"/>
      <c r="O303" s="49"/>
      <c r="P303" s="49"/>
      <c r="Q303" s="49"/>
      <c r="R303" s="49"/>
      <c r="S303" s="49"/>
      <c r="T303" s="49"/>
      <c r="U303" s="49"/>
      <c r="V303" s="41"/>
      <c r="W303" s="115"/>
      <c r="X303" s="115"/>
      <c r="Y303" s="115">
        <v>6843999.999999999</v>
      </c>
      <c r="Z303" s="115"/>
      <c r="AA303" s="115"/>
      <c r="AB303" s="115"/>
      <c r="AC303" s="113">
        <f t="shared" si="7"/>
        <v>6843999.999999999</v>
      </c>
      <c r="AD303" s="108" t="s">
        <v>563</v>
      </c>
    </row>
    <row r="304" spans="1:30" ht="26.25" thickBot="1" thickTop="1">
      <c r="A304" s="38">
        <v>36038</v>
      </c>
      <c r="B304" s="39" t="s">
        <v>893</v>
      </c>
      <c r="C304" s="40" t="s">
        <v>560</v>
      </c>
      <c r="D304" s="40" t="s">
        <v>911</v>
      </c>
      <c r="E304" s="48"/>
      <c r="F304" s="48"/>
      <c r="G304" s="48"/>
      <c r="H304" s="48">
        <v>31459</v>
      </c>
      <c r="I304" s="48">
        <v>280</v>
      </c>
      <c r="J304" s="48">
        <v>280</v>
      </c>
      <c r="K304" s="48">
        <v>37</v>
      </c>
      <c r="L304" s="48"/>
      <c r="M304" s="49">
        <v>37</v>
      </c>
      <c r="N304" s="49"/>
      <c r="O304" s="49"/>
      <c r="P304" s="49"/>
      <c r="Q304" s="49"/>
      <c r="R304" s="49"/>
      <c r="S304" s="49"/>
      <c r="T304" s="49"/>
      <c r="U304" s="49"/>
      <c r="V304" s="41" t="s">
        <v>692</v>
      </c>
      <c r="W304" s="115"/>
      <c r="X304" s="115"/>
      <c r="Y304" s="115">
        <v>6707120</v>
      </c>
      <c r="Z304" s="115"/>
      <c r="AA304" s="115"/>
      <c r="AB304" s="115"/>
      <c r="AC304" s="113">
        <f t="shared" si="7"/>
        <v>6707120</v>
      </c>
      <c r="AD304" s="108" t="s">
        <v>693</v>
      </c>
    </row>
    <row r="305" spans="1:30" ht="26.25" thickBot="1" thickTop="1">
      <c r="A305" s="38">
        <v>36048</v>
      </c>
      <c r="B305" s="39" t="s">
        <v>893</v>
      </c>
      <c r="C305" s="40" t="s">
        <v>560</v>
      </c>
      <c r="D305" s="40" t="s">
        <v>821</v>
      </c>
      <c r="E305" s="48"/>
      <c r="F305" s="48"/>
      <c r="G305" s="48"/>
      <c r="H305" s="48">
        <v>31459</v>
      </c>
      <c r="I305" s="48">
        <f>80*5</f>
        <v>400</v>
      </c>
      <c r="J305" s="48">
        <v>0</v>
      </c>
      <c r="K305" s="48">
        <v>80</v>
      </c>
      <c r="L305" s="48"/>
      <c r="M305" s="49">
        <v>80</v>
      </c>
      <c r="N305" s="49"/>
      <c r="O305" s="49"/>
      <c r="P305" s="49"/>
      <c r="Q305" s="49"/>
      <c r="R305" s="49"/>
      <c r="S305" s="49"/>
      <c r="T305" s="49"/>
      <c r="U305" s="49"/>
      <c r="V305" s="41" t="s">
        <v>804</v>
      </c>
      <c r="W305" s="115"/>
      <c r="X305" s="115"/>
      <c r="Y305" s="115"/>
      <c r="Z305" s="115"/>
      <c r="AA305" s="115"/>
      <c r="AB305" s="115"/>
      <c r="AC305" s="113">
        <f t="shared" si="7"/>
        <v>0</v>
      </c>
      <c r="AD305" s="108" t="s">
        <v>806</v>
      </c>
    </row>
    <row r="306" spans="1:30" ht="24" thickBot="1" thickTop="1">
      <c r="A306" s="38">
        <v>36078</v>
      </c>
      <c r="B306" s="39" t="s">
        <v>893</v>
      </c>
      <c r="C306" s="40" t="s">
        <v>776</v>
      </c>
      <c r="D306" s="40" t="s">
        <v>821</v>
      </c>
      <c r="E306" s="48"/>
      <c r="F306" s="48"/>
      <c r="G306" s="48"/>
      <c r="H306" s="48">
        <v>19625</v>
      </c>
      <c r="I306" s="48">
        <f>30*5</f>
        <v>150</v>
      </c>
      <c r="J306" s="48">
        <f>30*5</f>
        <v>150</v>
      </c>
      <c r="K306" s="48">
        <v>30</v>
      </c>
      <c r="L306" s="48"/>
      <c r="M306" s="49">
        <v>30</v>
      </c>
      <c r="N306" s="49"/>
      <c r="O306" s="49"/>
      <c r="P306" s="49"/>
      <c r="Q306" s="49"/>
      <c r="R306" s="49"/>
      <c r="S306" s="49"/>
      <c r="T306" s="49">
        <v>2</v>
      </c>
      <c r="U306" s="49"/>
      <c r="V306" s="41"/>
      <c r="W306" s="115">
        <v>3763793.86</v>
      </c>
      <c r="X306" s="115">
        <v>690000</v>
      </c>
      <c r="Y306" s="115"/>
      <c r="Z306" s="115"/>
      <c r="AA306" s="115"/>
      <c r="AB306" s="115"/>
      <c r="AC306" s="113">
        <f t="shared" si="7"/>
        <v>4453793.859999999</v>
      </c>
      <c r="AD306" s="108" t="s">
        <v>777</v>
      </c>
    </row>
    <row r="307" spans="1:30" ht="24" thickBot="1" thickTop="1">
      <c r="A307" s="38">
        <v>35898</v>
      </c>
      <c r="B307" s="39" t="s">
        <v>893</v>
      </c>
      <c r="C307" s="40" t="s">
        <v>163</v>
      </c>
      <c r="D307" s="40" t="s">
        <v>891</v>
      </c>
      <c r="E307" s="48">
        <v>1</v>
      </c>
      <c r="F307" s="48">
        <v>2</v>
      </c>
      <c r="G307" s="48"/>
      <c r="H307" s="48">
        <v>482490</v>
      </c>
      <c r="I307" s="48">
        <v>3</v>
      </c>
      <c r="J307" s="48">
        <v>0</v>
      </c>
      <c r="K307" s="48">
        <v>22</v>
      </c>
      <c r="L307" s="48">
        <v>1</v>
      </c>
      <c r="M307" s="49"/>
      <c r="N307" s="49"/>
      <c r="O307" s="49"/>
      <c r="P307" s="49"/>
      <c r="Q307" s="49"/>
      <c r="R307" s="49"/>
      <c r="S307" s="49"/>
      <c r="T307" s="49"/>
      <c r="U307" s="49"/>
      <c r="V307" s="41"/>
      <c r="W307" s="115"/>
      <c r="X307" s="115"/>
      <c r="Y307" s="115"/>
      <c r="Z307" s="115"/>
      <c r="AA307" s="115"/>
      <c r="AB307" s="115"/>
      <c r="AC307" s="113">
        <f t="shared" si="7"/>
        <v>0</v>
      </c>
      <c r="AD307" s="108" t="s">
        <v>164</v>
      </c>
    </row>
    <row r="308" spans="1:30" ht="26.25" thickBot="1" thickTop="1">
      <c r="A308" s="38">
        <v>36048</v>
      </c>
      <c r="B308" s="39" t="s">
        <v>893</v>
      </c>
      <c r="C308" s="40" t="s">
        <v>758</v>
      </c>
      <c r="D308" s="40" t="s">
        <v>911</v>
      </c>
      <c r="E308" s="48"/>
      <c r="F308" s="48"/>
      <c r="G308" s="48"/>
      <c r="H308" s="48">
        <v>11547</v>
      </c>
      <c r="I308" s="48">
        <f>70*5</f>
        <v>350</v>
      </c>
      <c r="J308" s="48">
        <f>70*5</f>
        <v>350</v>
      </c>
      <c r="K308" s="48">
        <v>70</v>
      </c>
      <c r="L308" s="48"/>
      <c r="M308" s="49">
        <v>70</v>
      </c>
      <c r="N308" s="49"/>
      <c r="O308" s="49"/>
      <c r="P308" s="49"/>
      <c r="Q308" s="49"/>
      <c r="R308" s="49"/>
      <c r="S308" s="49"/>
      <c r="T308" s="49"/>
      <c r="U308" s="49"/>
      <c r="V308" s="41" t="s">
        <v>94</v>
      </c>
      <c r="W308" s="115"/>
      <c r="X308" s="115"/>
      <c r="Y308" s="115">
        <v>6843999.999999999</v>
      </c>
      <c r="Z308" s="115"/>
      <c r="AA308" s="115"/>
      <c r="AB308" s="115"/>
      <c r="AC308" s="113">
        <f t="shared" si="7"/>
        <v>6843999.999999999</v>
      </c>
      <c r="AD308" s="108" t="s">
        <v>764</v>
      </c>
    </row>
    <row r="309" spans="1:30" ht="26.25" thickBot="1" thickTop="1">
      <c r="A309" s="38">
        <v>35923</v>
      </c>
      <c r="B309" s="39" t="s">
        <v>893</v>
      </c>
      <c r="C309" s="40" t="s">
        <v>346</v>
      </c>
      <c r="D309" s="40" t="s">
        <v>821</v>
      </c>
      <c r="E309" s="48"/>
      <c r="F309" s="48"/>
      <c r="G309" s="48"/>
      <c r="H309" s="48">
        <v>10661</v>
      </c>
      <c r="I309" s="48">
        <v>25</v>
      </c>
      <c r="J309" s="48">
        <v>0</v>
      </c>
      <c r="K309" s="48">
        <v>5</v>
      </c>
      <c r="L309" s="48"/>
      <c r="M309" s="49"/>
      <c r="N309" s="49">
        <v>4</v>
      </c>
      <c r="O309" s="49"/>
      <c r="P309" s="49">
        <v>10</v>
      </c>
      <c r="Q309" s="49"/>
      <c r="R309" s="49"/>
      <c r="S309" s="49"/>
      <c r="T309" s="49"/>
      <c r="U309" s="49"/>
      <c r="V309" s="41" t="s">
        <v>347</v>
      </c>
      <c r="W309" s="115"/>
      <c r="X309" s="115"/>
      <c r="Y309" s="115"/>
      <c r="Z309" s="115"/>
      <c r="AA309" s="115"/>
      <c r="AB309" s="115"/>
      <c r="AC309" s="113">
        <f t="shared" si="7"/>
        <v>0</v>
      </c>
      <c r="AD309" s="108" t="s">
        <v>348</v>
      </c>
    </row>
    <row r="310" spans="1:30" ht="26.25" thickBot="1" thickTop="1">
      <c r="A310" s="38">
        <v>35923</v>
      </c>
      <c r="B310" s="39" t="s">
        <v>893</v>
      </c>
      <c r="C310" s="40" t="s">
        <v>322</v>
      </c>
      <c r="D310" s="40" t="s">
        <v>821</v>
      </c>
      <c r="E310" s="48"/>
      <c r="F310" s="48"/>
      <c r="G310" s="48"/>
      <c r="H310" s="48">
        <v>3326</v>
      </c>
      <c r="I310" s="48">
        <v>15</v>
      </c>
      <c r="J310" s="48">
        <v>15</v>
      </c>
      <c r="K310" s="48">
        <v>3</v>
      </c>
      <c r="L310" s="48">
        <v>2</v>
      </c>
      <c r="M310" s="49"/>
      <c r="N310" s="49"/>
      <c r="O310" s="49">
        <v>1</v>
      </c>
      <c r="P310" s="49">
        <v>1</v>
      </c>
      <c r="Q310" s="49">
        <v>1</v>
      </c>
      <c r="R310" s="49"/>
      <c r="S310" s="49"/>
      <c r="T310" s="49"/>
      <c r="U310" s="49"/>
      <c r="V310" s="41" t="s">
        <v>323</v>
      </c>
      <c r="W310" s="115"/>
      <c r="X310" s="115"/>
      <c r="Y310" s="115"/>
      <c r="Z310" s="115"/>
      <c r="AA310" s="115"/>
      <c r="AB310" s="115">
        <v>5000000</v>
      </c>
      <c r="AC310" s="113">
        <f t="shared" si="7"/>
        <v>5000000</v>
      </c>
      <c r="AD310" s="108" t="s">
        <v>343</v>
      </c>
    </row>
    <row r="311" spans="1:30" ht="26.25" thickBot="1" thickTop="1">
      <c r="A311" s="38">
        <v>35923</v>
      </c>
      <c r="B311" s="39" t="s">
        <v>893</v>
      </c>
      <c r="C311" s="40" t="s">
        <v>344</v>
      </c>
      <c r="D311" s="40" t="s">
        <v>821</v>
      </c>
      <c r="E311" s="48"/>
      <c r="F311" s="48"/>
      <c r="G311" s="48"/>
      <c r="H311" s="48">
        <v>34830</v>
      </c>
      <c r="I311" s="48">
        <v>160</v>
      </c>
      <c r="J311" s="48">
        <v>160</v>
      </c>
      <c r="K311" s="48">
        <v>32</v>
      </c>
      <c r="L311" s="48"/>
      <c r="M311" s="49"/>
      <c r="N311" s="49"/>
      <c r="O311" s="49"/>
      <c r="P311" s="49"/>
      <c r="Q311" s="49">
        <v>5</v>
      </c>
      <c r="R311" s="49"/>
      <c r="S311" s="49"/>
      <c r="T311" s="49"/>
      <c r="U311" s="49"/>
      <c r="V311" s="41"/>
      <c r="W311" s="115"/>
      <c r="X311" s="115"/>
      <c r="Y311" s="115"/>
      <c r="Z311" s="115"/>
      <c r="AA311" s="115"/>
      <c r="AB311" s="115">
        <v>625000</v>
      </c>
      <c r="AC311" s="113">
        <f t="shared" si="7"/>
        <v>625000</v>
      </c>
      <c r="AD311" s="108" t="s">
        <v>345</v>
      </c>
    </row>
    <row r="312" spans="1:30" ht="24" thickBot="1" thickTop="1">
      <c r="A312" s="38">
        <v>36013</v>
      </c>
      <c r="B312" s="39" t="s">
        <v>893</v>
      </c>
      <c r="C312" s="40" t="s">
        <v>765</v>
      </c>
      <c r="D312" s="40" t="s">
        <v>911</v>
      </c>
      <c r="E312" s="48"/>
      <c r="F312" s="48"/>
      <c r="G312" s="48"/>
      <c r="H312" s="48">
        <v>17266</v>
      </c>
      <c r="I312" s="48">
        <f>36*5</f>
        <v>180</v>
      </c>
      <c r="J312" s="48">
        <v>0</v>
      </c>
      <c r="K312" s="48">
        <v>36</v>
      </c>
      <c r="L312" s="48"/>
      <c r="M312" s="49">
        <v>36</v>
      </c>
      <c r="N312" s="49"/>
      <c r="O312" s="49"/>
      <c r="P312" s="49"/>
      <c r="Q312" s="49"/>
      <c r="R312" s="49"/>
      <c r="S312" s="49"/>
      <c r="T312" s="49">
        <v>4</v>
      </c>
      <c r="U312" s="49">
        <v>1</v>
      </c>
      <c r="V312" s="41"/>
      <c r="W312" s="115"/>
      <c r="X312" s="115"/>
      <c r="Y312" s="115"/>
      <c r="Z312" s="115"/>
      <c r="AA312" s="115"/>
      <c r="AB312" s="115"/>
      <c r="AC312" s="113">
        <f t="shared" si="7"/>
        <v>0</v>
      </c>
      <c r="AD312" s="108" t="s">
        <v>766</v>
      </c>
    </row>
    <row r="313" spans="1:30" ht="24" thickBot="1" thickTop="1">
      <c r="A313" s="38">
        <v>35926</v>
      </c>
      <c r="B313" s="39" t="s">
        <v>893</v>
      </c>
      <c r="C313" s="40" t="s">
        <v>320</v>
      </c>
      <c r="D313" s="40" t="s">
        <v>911</v>
      </c>
      <c r="E313" s="48"/>
      <c r="F313" s="48"/>
      <c r="G313" s="48"/>
      <c r="H313" s="48"/>
      <c r="I313" s="48">
        <v>37</v>
      </c>
      <c r="J313" s="48">
        <v>37</v>
      </c>
      <c r="K313" s="48">
        <v>11</v>
      </c>
      <c r="L313" s="48"/>
      <c r="M313" s="49">
        <v>11</v>
      </c>
      <c r="N313" s="49"/>
      <c r="O313" s="49"/>
      <c r="P313" s="49"/>
      <c r="Q313" s="49"/>
      <c r="R313" s="49"/>
      <c r="S313" s="49"/>
      <c r="T313" s="49"/>
      <c r="U313" s="49"/>
      <c r="V313" s="41"/>
      <c r="W313" s="115"/>
      <c r="X313" s="115"/>
      <c r="Y313" s="115">
        <v>1263008</v>
      </c>
      <c r="Z313" s="115"/>
      <c r="AA313" s="115"/>
      <c r="AB313" s="115"/>
      <c r="AC313" s="113">
        <f t="shared" si="7"/>
        <v>1263008</v>
      </c>
      <c r="AD313" s="108" t="s">
        <v>321</v>
      </c>
    </row>
    <row r="314" spans="1:30" ht="14.25" thickBot="1" thickTop="1">
      <c r="A314" s="38">
        <v>35856</v>
      </c>
      <c r="B314" s="39" t="s">
        <v>92</v>
      </c>
      <c r="C314" s="40" t="s">
        <v>93</v>
      </c>
      <c r="D314" s="40" t="s">
        <v>821</v>
      </c>
      <c r="E314" s="48"/>
      <c r="F314" s="48"/>
      <c r="G314" s="48"/>
      <c r="H314" s="48">
        <v>20736</v>
      </c>
      <c r="I314" s="48">
        <v>132</v>
      </c>
      <c r="J314" s="48">
        <v>132</v>
      </c>
      <c r="K314" s="48">
        <v>33</v>
      </c>
      <c r="L314" s="48"/>
      <c r="M314" s="49"/>
      <c r="N314" s="49"/>
      <c r="O314" s="49"/>
      <c r="P314" s="49"/>
      <c r="Q314" s="49"/>
      <c r="R314" s="49"/>
      <c r="S314" s="49"/>
      <c r="T314" s="49"/>
      <c r="U314" s="49"/>
      <c r="V314" s="41" t="s">
        <v>94</v>
      </c>
      <c r="W314" s="115"/>
      <c r="X314" s="115">
        <v>3036000</v>
      </c>
      <c r="Y314" s="115"/>
      <c r="Z314" s="115"/>
      <c r="AA314" s="115"/>
      <c r="AB314" s="115"/>
      <c r="AC314" s="113">
        <f t="shared" si="7"/>
        <v>3036000</v>
      </c>
      <c r="AD314" s="108" t="s">
        <v>95</v>
      </c>
    </row>
    <row r="315" spans="1:30" ht="14.25" thickBot="1" thickTop="1">
      <c r="A315" s="38">
        <v>35955</v>
      </c>
      <c r="B315" s="39" t="s">
        <v>92</v>
      </c>
      <c r="C315" s="40" t="s">
        <v>93</v>
      </c>
      <c r="D315" s="40" t="s">
        <v>821</v>
      </c>
      <c r="E315" s="48"/>
      <c r="F315" s="48"/>
      <c r="G315" s="48"/>
      <c r="H315" s="48">
        <v>20736</v>
      </c>
      <c r="I315" s="48">
        <v>34</v>
      </c>
      <c r="J315" s="48">
        <v>0</v>
      </c>
      <c r="K315" s="48">
        <v>7</v>
      </c>
      <c r="L315" s="48"/>
      <c r="M315" s="49"/>
      <c r="N315" s="49"/>
      <c r="O315" s="49"/>
      <c r="P315" s="49"/>
      <c r="Q315" s="49"/>
      <c r="R315" s="49"/>
      <c r="S315" s="49"/>
      <c r="T315" s="49"/>
      <c r="U315" s="49"/>
      <c r="V315" s="41"/>
      <c r="W315" s="115"/>
      <c r="X315" s="115"/>
      <c r="Y315" s="115"/>
      <c r="Z315" s="115"/>
      <c r="AA315" s="115"/>
      <c r="AB315" s="115"/>
      <c r="AC315" s="113">
        <f t="shared" si="7"/>
        <v>0</v>
      </c>
      <c r="AD315" s="108" t="s">
        <v>470</v>
      </c>
    </row>
    <row r="316" spans="1:30" ht="18" thickBot="1" thickTop="1">
      <c r="A316" s="38">
        <v>36031</v>
      </c>
      <c r="B316" s="39" t="s">
        <v>92</v>
      </c>
      <c r="C316" s="40" t="s">
        <v>93</v>
      </c>
      <c r="D316" s="40" t="s">
        <v>821</v>
      </c>
      <c r="E316" s="48"/>
      <c r="F316" s="48"/>
      <c r="G316" s="48"/>
      <c r="H316" s="48">
        <v>20736</v>
      </c>
      <c r="I316" s="48">
        <v>655</v>
      </c>
      <c r="J316" s="48">
        <v>655</v>
      </c>
      <c r="K316" s="48">
        <v>108</v>
      </c>
      <c r="L316" s="48"/>
      <c r="M316" s="49"/>
      <c r="N316" s="49"/>
      <c r="O316" s="49"/>
      <c r="P316" s="49"/>
      <c r="Q316" s="49"/>
      <c r="R316" s="49"/>
      <c r="S316" s="49"/>
      <c r="T316" s="49"/>
      <c r="U316" s="49"/>
      <c r="V316" s="41"/>
      <c r="W316" s="115"/>
      <c r="X316" s="115">
        <v>8050000</v>
      </c>
      <c r="Y316" s="115"/>
      <c r="Z316" s="115"/>
      <c r="AA316" s="115"/>
      <c r="AB316" s="115"/>
      <c r="AC316" s="113">
        <f t="shared" si="7"/>
        <v>8050000</v>
      </c>
      <c r="AD316" s="108" t="s">
        <v>650</v>
      </c>
    </row>
    <row r="317" spans="1:30" ht="26.25" thickBot="1" thickTop="1">
      <c r="A317" s="38">
        <v>36087</v>
      </c>
      <c r="B317" s="39" t="s">
        <v>92</v>
      </c>
      <c r="C317" s="40" t="s">
        <v>93</v>
      </c>
      <c r="D317" s="40" t="s">
        <v>821</v>
      </c>
      <c r="E317" s="48"/>
      <c r="F317" s="48"/>
      <c r="G317" s="48"/>
      <c r="H317" s="48">
        <v>20736</v>
      </c>
      <c r="I317" s="48">
        <v>23</v>
      </c>
      <c r="J317" s="48">
        <v>23</v>
      </c>
      <c r="K317" s="48">
        <v>4</v>
      </c>
      <c r="L317" s="48"/>
      <c r="M317" s="49"/>
      <c r="N317" s="49"/>
      <c r="O317" s="49"/>
      <c r="P317" s="49"/>
      <c r="Q317" s="49"/>
      <c r="R317" s="49"/>
      <c r="S317" s="49"/>
      <c r="T317" s="49"/>
      <c r="U317" s="49"/>
      <c r="V317" s="41"/>
      <c r="W317" s="115"/>
      <c r="X317" s="115">
        <v>92000</v>
      </c>
      <c r="Y317" s="115"/>
      <c r="Z317" s="115"/>
      <c r="AA317" s="115"/>
      <c r="AB317" s="115">
        <v>0</v>
      </c>
      <c r="AC317" s="113">
        <f t="shared" si="7"/>
        <v>92000</v>
      </c>
      <c r="AD317" s="108" t="s">
        <v>363</v>
      </c>
    </row>
    <row r="318" spans="1:30" ht="18" thickBot="1" thickTop="1">
      <c r="A318" s="38">
        <v>36117</v>
      </c>
      <c r="B318" s="39" t="s">
        <v>92</v>
      </c>
      <c r="C318" s="40" t="s">
        <v>93</v>
      </c>
      <c r="D318" s="40" t="s">
        <v>891</v>
      </c>
      <c r="E318" s="48"/>
      <c r="F318" s="48"/>
      <c r="G318" s="48"/>
      <c r="H318" s="48">
        <v>20736</v>
      </c>
      <c r="I318" s="48">
        <v>12</v>
      </c>
      <c r="J318" s="48">
        <v>0</v>
      </c>
      <c r="K318" s="48">
        <v>3</v>
      </c>
      <c r="L318" s="48">
        <v>3</v>
      </c>
      <c r="M318" s="49"/>
      <c r="N318" s="49"/>
      <c r="O318" s="49"/>
      <c r="P318" s="49"/>
      <c r="Q318" s="49"/>
      <c r="R318" s="49"/>
      <c r="S318" s="49"/>
      <c r="T318" s="49"/>
      <c r="U318" s="49"/>
      <c r="V318" s="41"/>
      <c r="W318" s="115"/>
      <c r="X318" s="115"/>
      <c r="Y318" s="115"/>
      <c r="Z318" s="115"/>
      <c r="AA318" s="115"/>
      <c r="AB318" s="115"/>
      <c r="AC318" s="113">
        <f t="shared" si="7"/>
        <v>0</v>
      </c>
      <c r="AD318" s="108" t="s">
        <v>333</v>
      </c>
    </row>
    <row r="319" spans="1:30" ht="14.25" thickBot="1" thickTop="1">
      <c r="A319" s="38">
        <v>35989</v>
      </c>
      <c r="B319" s="39" t="s">
        <v>92</v>
      </c>
      <c r="C319" s="40" t="s">
        <v>566</v>
      </c>
      <c r="D319" s="40" t="s">
        <v>821</v>
      </c>
      <c r="E319" s="48"/>
      <c r="F319" s="48"/>
      <c r="G319" s="48"/>
      <c r="H319" s="48">
        <v>38010</v>
      </c>
      <c r="I319" s="48">
        <v>422</v>
      </c>
      <c r="J319" s="48">
        <v>422</v>
      </c>
      <c r="K319" s="48">
        <v>87</v>
      </c>
      <c r="L319" s="48"/>
      <c r="M319" s="49"/>
      <c r="N319" s="49"/>
      <c r="O319" s="49"/>
      <c r="P319" s="49"/>
      <c r="Q319" s="49"/>
      <c r="R319" s="49"/>
      <c r="S319" s="49"/>
      <c r="T319" s="49"/>
      <c r="U319" s="49"/>
      <c r="V319" s="41"/>
      <c r="W319" s="115">
        <v>2371956.62</v>
      </c>
      <c r="X319" s="115">
        <v>2001000</v>
      </c>
      <c r="Y319" s="115"/>
      <c r="Z319" s="115"/>
      <c r="AA319" s="115"/>
      <c r="AB319" s="115"/>
      <c r="AC319" s="113">
        <f t="shared" si="7"/>
        <v>4372956.62</v>
      </c>
      <c r="AD319" s="108" t="s">
        <v>567</v>
      </c>
    </row>
    <row r="320" spans="1:31" ht="26.25" thickBot="1" thickTop="1">
      <c r="A320" s="38">
        <v>36073</v>
      </c>
      <c r="B320" s="39" t="s">
        <v>92</v>
      </c>
      <c r="C320" s="40" t="s">
        <v>566</v>
      </c>
      <c r="D320" s="40" t="s">
        <v>821</v>
      </c>
      <c r="E320" s="48"/>
      <c r="F320" s="48">
        <f>12+25+5</f>
        <v>42</v>
      </c>
      <c r="G320" s="48"/>
      <c r="H320" s="48">
        <v>38010</v>
      </c>
      <c r="I320" s="48">
        <f>70+45+85+71+12</f>
        <v>283</v>
      </c>
      <c r="J320" s="48">
        <f>70+45+85+71+12</f>
        <v>283</v>
      </c>
      <c r="K320" s="48">
        <f>14+9+17+32+3</f>
        <v>75</v>
      </c>
      <c r="L320" s="48">
        <f>14+9+7+20+2</f>
        <v>52</v>
      </c>
      <c r="M320" s="49">
        <f>3+10+12+1</f>
        <v>26</v>
      </c>
      <c r="N320" s="49"/>
      <c r="O320" s="49"/>
      <c r="P320" s="49"/>
      <c r="Q320" s="49"/>
      <c r="R320" s="49"/>
      <c r="S320" s="49"/>
      <c r="T320" s="49"/>
      <c r="U320" s="49"/>
      <c r="V320" s="41" t="s">
        <v>754</v>
      </c>
      <c r="W320" s="115"/>
      <c r="X320" s="115"/>
      <c r="Y320" s="115">
        <v>8524800</v>
      </c>
      <c r="Z320" s="115"/>
      <c r="AA320" s="115"/>
      <c r="AB320" s="115"/>
      <c r="AC320" s="113">
        <f t="shared" si="7"/>
        <v>8524800</v>
      </c>
      <c r="AD320" s="108" t="s">
        <v>755</v>
      </c>
      <c r="AE320" s="4" t="s">
        <v>594</v>
      </c>
    </row>
    <row r="321" spans="1:30" ht="26.25" thickBot="1" thickTop="1">
      <c r="A321" s="38">
        <v>35977</v>
      </c>
      <c r="B321" s="39" t="s">
        <v>92</v>
      </c>
      <c r="C321" s="40" t="s">
        <v>564</v>
      </c>
      <c r="D321" s="40" t="s">
        <v>821</v>
      </c>
      <c r="E321" s="48"/>
      <c r="F321" s="48"/>
      <c r="G321" s="48">
        <v>9</v>
      </c>
      <c r="H321" s="48">
        <v>18770</v>
      </c>
      <c r="I321" s="48">
        <v>2684</v>
      </c>
      <c r="J321" s="48">
        <v>2684</v>
      </c>
      <c r="K321" s="48">
        <v>585</v>
      </c>
      <c r="L321" s="48"/>
      <c r="M321" s="49"/>
      <c r="N321" s="49"/>
      <c r="O321" s="49"/>
      <c r="P321" s="49"/>
      <c r="Q321" s="49"/>
      <c r="R321" s="49"/>
      <c r="S321" s="49"/>
      <c r="T321" s="49"/>
      <c r="U321" s="49"/>
      <c r="V321" s="41"/>
      <c r="W321" s="115">
        <v>20698451.200000003</v>
      </c>
      <c r="X321" s="115">
        <v>13455000</v>
      </c>
      <c r="Y321" s="115"/>
      <c r="Z321" s="115"/>
      <c r="AA321" s="115"/>
      <c r="AB321" s="115"/>
      <c r="AC321" s="113">
        <f t="shared" si="7"/>
        <v>34153451.2</v>
      </c>
      <c r="AD321" s="108" t="s">
        <v>565</v>
      </c>
    </row>
    <row r="322" spans="1:30" ht="24" thickBot="1" thickTop="1">
      <c r="A322" s="38">
        <v>35963</v>
      </c>
      <c r="B322" s="39" t="s">
        <v>92</v>
      </c>
      <c r="C322" s="40" t="s">
        <v>471</v>
      </c>
      <c r="D322" s="40" t="s">
        <v>821</v>
      </c>
      <c r="E322" s="48"/>
      <c r="F322" s="48"/>
      <c r="G322" s="48"/>
      <c r="H322" s="48">
        <v>15586</v>
      </c>
      <c r="I322" s="48">
        <v>2500</v>
      </c>
      <c r="J322" s="48">
        <v>2500</v>
      </c>
      <c r="K322" s="48">
        <v>500</v>
      </c>
      <c r="L322" s="48"/>
      <c r="M322" s="49"/>
      <c r="N322" s="49"/>
      <c r="O322" s="49"/>
      <c r="P322" s="49"/>
      <c r="Q322" s="49"/>
      <c r="R322" s="49"/>
      <c r="S322" s="49"/>
      <c r="T322" s="49"/>
      <c r="U322" s="49"/>
      <c r="V322" s="41"/>
      <c r="W322" s="115">
        <v>44774593.1</v>
      </c>
      <c r="X322" s="115">
        <v>11500000</v>
      </c>
      <c r="Y322" s="115"/>
      <c r="Z322" s="115"/>
      <c r="AA322" s="115"/>
      <c r="AB322" s="115">
        <v>5000000</v>
      </c>
      <c r="AC322" s="113">
        <f t="shared" si="7"/>
        <v>61274593.1</v>
      </c>
      <c r="AD322" s="108" t="s">
        <v>472</v>
      </c>
    </row>
    <row r="323" spans="1:30" ht="24" thickBot="1" thickTop="1">
      <c r="A323" s="38">
        <v>35987</v>
      </c>
      <c r="B323" s="39" t="s">
        <v>92</v>
      </c>
      <c r="C323" s="40" t="s">
        <v>471</v>
      </c>
      <c r="D323" s="40" t="s">
        <v>821</v>
      </c>
      <c r="E323" s="48"/>
      <c r="F323" s="48"/>
      <c r="G323" s="48"/>
      <c r="H323" s="48">
        <v>15586</v>
      </c>
      <c r="I323" s="48">
        <v>100</v>
      </c>
      <c r="J323" s="48">
        <v>0</v>
      </c>
      <c r="K323" s="48">
        <v>20</v>
      </c>
      <c r="L323" s="48"/>
      <c r="M323" s="49"/>
      <c r="N323" s="49"/>
      <c r="O323" s="49"/>
      <c r="P323" s="49"/>
      <c r="Q323" s="49"/>
      <c r="R323" s="49"/>
      <c r="S323" s="49"/>
      <c r="T323" s="49"/>
      <c r="U323" s="49"/>
      <c r="V323" s="41"/>
      <c r="W323" s="115"/>
      <c r="X323" s="115"/>
      <c r="Y323" s="115"/>
      <c r="Z323" s="115"/>
      <c r="AA323" s="115"/>
      <c r="AB323" s="115"/>
      <c r="AC323" s="113">
        <f t="shared" si="7"/>
        <v>0</v>
      </c>
      <c r="AD323" s="108" t="s">
        <v>570</v>
      </c>
    </row>
    <row r="324" spans="1:30" ht="14.25" thickBot="1" thickTop="1">
      <c r="A324" s="38">
        <v>35831</v>
      </c>
      <c r="B324" s="39" t="s">
        <v>41</v>
      </c>
      <c r="C324" s="40" t="s">
        <v>42</v>
      </c>
      <c r="D324" s="40" t="s">
        <v>36</v>
      </c>
      <c r="E324" s="48">
        <v>2</v>
      </c>
      <c r="F324" s="48"/>
      <c r="G324" s="48"/>
      <c r="H324" s="48">
        <v>223284</v>
      </c>
      <c r="I324" s="48">
        <v>584</v>
      </c>
      <c r="J324" s="48">
        <v>584</v>
      </c>
      <c r="K324" s="48"/>
      <c r="L324" s="48"/>
      <c r="M324" s="49"/>
      <c r="N324" s="49"/>
      <c r="O324" s="49"/>
      <c r="P324" s="49"/>
      <c r="Q324" s="49"/>
      <c r="R324" s="49"/>
      <c r="S324" s="49"/>
      <c r="T324" s="49"/>
      <c r="U324" s="49"/>
      <c r="V324" s="41"/>
      <c r="W324" s="115">
        <v>5025364.5</v>
      </c>
      <c r="X324" s="115"/>
      <c r="Y324" s="115"/>
      <c r="Z324" s="115"/>
      <c r="AA324" s="115"/>
      <c r="AB324" s="115"/>
      <c r="AC324" s="113">
        <f t="shared" si="7"/>
        <v>5025364.5</v>
      </c>
      <c r="AD324" s="108"/>
    </row>
    <row r="325" spans="1:30" ht="18" thickBot="1" thickTop="1">
      <c r="A325" s="38">
        <v>36024</v>
      </c>
      <c r="B325" s="39" t="s">
        <v>41</v>
      </c>
      <c r="C325" s="40" t="s">
        <v>638</v>
      </c>
      <c r="D325" s="40" t="s">
        <v>879</v>
      </c>
      <c r="E325" s="48"/>
      <c r="F325" s="48">
        <v>9</v>
      </c>
      <c r="G325" s="48"/>
      <c r="H325" s="48">
        <v>21001</v>
      </c>
      <c r="I325" s="48">
        <v>35</v>
      </c>
      <c r="J325" s="48">
        <v>0</v>
      </c>
      <c r="K325" s="48">
        <v>4</v>
      </c>
      <c r="L325" s="48">
        <v>7</v>
      </c>
      <c r="M325" s="49"/>
      <c r="N325" s="49"/>
      <c r="O325" s="49"/>
      <c r="P325" s="49"/>
      <c r="Q325" s="49"/>
      <c r="R325" s="49"/>
      <c r="S325" s="49"/>
      <c r="T325" s="49"/>
      <c r="U325" s="49"/>
      <c r="V325" s="41"/>
      <c r="W325" s="115"/>
      <c r="X325" s="115"/>
      <c r="Y325" s="115"/>
      <c r="Z325" s="115"/>
      <c r="AA325" s="115"/>
      <c r="AB325" s="115"/>
      <c r="AC325" s="113">
        <f t="shared" si="7"/>
        <v>0</v>
      </c>
      <c r="AD325" s="108" t="s">
        <v>654</v>
      </c>
    </row>
    <row r="326" spans="1:30" ht="14.25" thickBot="1" thickTop="1">
      <c r="A326" s="38">
        <v>35905</v>
      </c>
      <c r="B326" s="39" t="s">
        <v>41</v>
      </c>
      <c r="C326" s="40" t="s">
        <v>165</v>
      </c>
      <c r="D326" s="40" t="s">
        <v>821</v>
      </c>
      <c r="E326" s="48"/>
      <c r="F326" s="48"/>
      <c r="G326" s="48"/>
      <c r="H326" s="48">
        <v>9642</v>
      </c>
      <c r="I326" s="48">
        <v>75</v>
      </c>
      <c r="J326" s="48">
        <v>0</v>
      </c>
      <c r="K326" s="48">
        <v>15</v>
      </c>
      <c r="L326" s="48">
        <v>5</v>
      </c>
      <c r="M326" s="49">
        <v>10</v>
      </c>
      <c r="N326" s="49">
        <v>1</v>
      </c>
      <c r="O326" s="49">
        <v>3</v>
      </c>
      <c r="P326" s="49"/>
      <c r="Q326" s="49"/>
      <c r="R326" s="49"/>
      <c r="S326" s="49"/>
      <c r="T326" s="49"/>
      <c r="U326" s="49"/>
      <c r="V326" s="41" t="s">
        <v>94</v>
      </c>
      <c r="W326" s="115"/>
      <c r="X326" s="115"/>
      <c r="Y326" s="115"/>
      <c r="Z326" s="115"/>
      <c r="AA326" s="115"/>
      <c r="AB326" s="115"/>
      <c r="AC326" s="113">
        <f t="shared" si="7"/>
        <v>0</v>
      </c>
      <c r="AD326" s="108" t="s">
        <v>166</v>
      </c>
    </row>
    <row r="327" spans="1:30" ht="14.25" thickBot="1" thickTop="1">
      <c r="A327" s="38">
        <v>35874</v>
      </c>
      <c r="B327" s="39" t="s">
        <v>41</v>
      </c>
      <c r="C327" s="40" t="s">
        <v>96</v>
      </c>
      <c r="D327" s="40" t="s">
        <v>911</v>
      </c>
      <c r="E327" s="48"/>
      <c r="F327" s="48"/>
      <c r="G327" s="48"/>
      <c r="H327" s="48">
        <v>32620</v>
      </c>
      <c r="I327" s="48">
        <v>205</v>
      </c>
      <c r="J327" s="48">
        <v>205</v>
      </c>
      <c r="K327" s="48">
        <v>50</v>
      </c>
      <c r="L327" s="48">
        <v>48</v>
      </c>
      <c r="M327" s="49">
        <v>40</v>
      </c>
      <c r="N327" s="49"/>
      <c r="O327" s="49"/>
      <c r="P327" s="49"/>
      <c r="Q327" s="49"/>
      <c r="R327" s="49"/>
      <c r="S327" s="49"/>
      <c r="T327" s="49">
        <v>4</v>
      </c>
      <c r="U327" s="49">
        <v>1</v>
      </c>
      <c r="V327" s="41" t="s">
        <v>94</v>
      </c>
      <c r="W327" s="116">
        <v>9662950.7</v>
      </c>
      <c r="X327" s="115"/>
      <c r="Y327" s="115"/>
      <c r="Z327" s="115"/>
      <c r="AA327" s="115"/>
      <c r="AB327" s="115"/>
      <c r="AC327" s="113">
        <f t="shared" si="7"/>
        <v>9662950.7</v>
      </c>
      <c r="AD327" s="108" t="s">
        <v>97</v>
      </c>
    </row>
    <row r="328" spans="1:30" ht="26.25" thickBot="1" thickTop="1">
      <c r="A328" s="38">
        <v>36131</v>
      </c>
      <c r="B328" s="39" t="s">
        <v>41</v>
      </c>
      <c r="C328" s="40" t="s">
        <v>875</v>
      </c>
      <c r="D328" s="40" t="s">
        <v>821</v>
      </c>
      <c r="E328" s="48"/>
      <c r="F328" s="48"/>
      <c r="G328" s="48"/>
      <c r="H328" s="48"/>
      <c r="I328" s="48"/>
      <c r="J328" s="48"/>
      <c r="K328" s="48"/>
      <c r="L328" s="48"/>
      <c r="M328" s="49"/>
      <c r="N328" s="49"/>
      <c r="O328" s="49"/>
      <c r="P328" s="49"/>
      <c r="Q328" s="49"/>
      <c r="R328" s="49"/>
      <c r="S328" s="49"/>
      <c r="T328" s="49"/>
      <c r="U328" s="49"/>
      <c r="V328" s="41"/>
      <c r="W328" s="115"/>
      <c r="X328" s="115"/>
      <c r="Y328" s="115"/>
      <c r="Z328" s="115"/>
      <c r="AA328" s="115"/>
      <c r="AB328" s="115">
        <v>10000000</v>
      </c>
      <c r="AC328" s="113">
        <f t="shared" si="7"/>
        <v>10000000</v>
      </c>
      <c r="AD328" s="108" t="s">
        <v>639</v>
      </c>
    </row>
    <row r="329" spans="1:30" ht="24" thickBot="1" thickTop="1">
      <c r="A329" s="38">
        <v>36036</v>
      </c>
      <c r="B329" s="39" t="s">
        <v>366</v>
      </c>
      <c r="C329" s="40" t="s">
        <v>652</v>
      </c>
      <c r="D329" s="40" t="s">
        <v>911</v>
      </c>
      <c r="E329" s="48"/>
      <c r="F329" s="48">
        <v>1</v>
      </c>
      <c r="G329" s="48"/>
      <c r="H329" s="48">
        <v>139839</v>
      </c>
      <c r="I329" s="48">
        <f>43*5</f>
        <v>215</v>
      </c>
      <c r="J329" s="48">
        <v>0</v>
      </c>
      <c r="K329" s="48">
        <f>17+3+2+6+5+6+3+1</f>
        <v>43</v>
      </c>
      <c r="L329" s="48"/>
      <c r="M329" s="49">
        <v>43</v>
      </c>
      <c r="N329" s="49"/>
      <c r="O329" s="49"/>
      <c r="P329" s="49"/>
      <c r="Q329" s="49">
        <v>1</v>
      </c>
      <c r="R329" s="49"/>
      <c r="S329" s="49"/>
      <c r="T329" s="49"/>
      <c r="U329" s="49"/>
      <c r="V329" s="41"/>
      <c r="W329" s="115"/>
      <c r="X329" s="115"/>
      <c r="Y329" s="115"/>
      <c r="Z329" s="115"/>
      <c r="AA329" s="115"/>
      <c r="AB329" s="115"/>
      <c r="AC329" s="113">
        <f t="shared" si="7"/>
        <v>0</v>
      </c>
      <c r="AD329" s="108" t="s">
        <v>653</v>
      </c>
    </row>
    <row r="330" spans="1:30" ht="24" thickBot="1" thickTop="1">
      <c r="A330" s="38">
        <v>36131</v>
      </c>
      <c r="B330" s="39" t="s">
        <v>366</v>
      </c>
      <c r="C330" s="40" t="s">
        <v>652</v>
      </c>
      <c r="D330" s="40" t="s">
        <v>875</v>
      </c>
      <c r="E330" s="48"/>
      <c r="F330" s="48"/>
      <c r="G330" s="48"/>
      <c r="H330" s="48">
        <v>139839</v>
      </c>
      <c r="I330" s="48"/>
      <c r="J330" s="48"/>
      <c r="K330" s="48"/>
      <c r="L330" s="48"/>
      <c r="M330" s="49"/>
      <c r="N330" s="49"/>
      <c r="O330" s="49"/>
      <c r="P330" s="49"/>
      <c r="Q330" s="49"/>
      <c r="R330" s="49"/>
      <c r="S330" s="49"/>
      <c r="T330" s="49"/>
      <c r="U330" s="49"/>
      <c r="V330" s="41"/>
      <c r="W330" s="115"/>
      <c r="X330" s="115"/>
      <c r="Y330" s="115"/>
      <c r="Z330" s="115"/>
      <c r="AA330" s="115"/>
      <c r="AB330" s="115">
        <v>1600000</v>
      </c>
      <c r="AC330" s="113">
        <f t="shared" si="7"/>
        <v>1600000</v>
      </c>
      <c r="AD330" s="108" t="s">
        <v>437</v>
      </c>
    </row>
    <row r="331" spans="1:30" ht="14.25" thickBot="1" thickTop="1">
      <c r="A331" s="38">
        <v>35944</v>
      </c>
      <c r="B331" s="39" t="s">
        <v>366</v>
      </c>
      <c r="C331" s="40" t="s">
        <v>372</v>
      </c>
      <c r="D331" s="40" t="s">
        <v>821</v>
      </c>
      <c r="E331" s="48"/>
      <c r="F331" s="48"/>
      <c r="G331" s="48"/>
      <c r="H331" s="48">
        <v>14631</v>
      </c>
      <c r="I331" s="48">
        <v>66</v>
      </c>
      <c r="J331" s="48">
        <v>66</v>
      </c>
      <c r="K331" s="48">
        <v>12</v>
      </c>
      <c r="L331" s="48"/>
      <c r="M331" s="49"/>
      <c r="N331" s="49"/>
      <c r="O331" s="49"/>
      <c r="P331" s="49"/>
      <c r="Q331" s="49"/>
      <c r="R331" s="49"/>
      <c r="S331" s="49"/>
      <c r="T331" s="49"/>
      <c r="U331" s="49"/>
      <c r="V331" s="41"/>
      <c r="W331" s="115">
        <v>89467.2</v>
      </c>
      <c r="X331" s="115">
        <v>276000</v>
      </c>
      <c r="Y331" s="115"/>
      <c r="Z331" s="115"/>
      <c r="AA331" s="115"/>
      <c r="AB331" s="115"/>
      <c r="AC331" s="113">
        <f t="shared" si="7"/>
        <v>365467.2</v>
      </c>
      <c r="AD331" s="108"/>
    </row>
    <row r="332" spans="1:30" ht="14.25" thickBot="1" thickTop="1">
      <c r="A332" s="38">
        <v>35944</v>
      </c>
      <c r="B332" s="39" t="s">
        <v>366</v>
      </c>
      <c r="C332" s="40" t="s">
        <v>369</v>
      </c>
      <c r="D332" s="40" t="s">
        <v>821</v>
      </c>
      <c r="E332" s="48"/>
      <c r="F332" s="48">
        <v>4</v>
      </c>
      <c r="G332" s="48"/>
      <c r="H332" s="48">
        <v>28404</v>
      </c>
      <c r="I332" s="48">
        <v>1665</v>
      </c>
      <c r="J332" s="48">
        <v>1665</v>
      </c>
      <c r="K332" s="48">
        <v>387</v>
      </c>
      <c r="L332" s="48"/>
      <c r="M332" s="49"/>
      <c r="N332" s="49"/>
      <c r="O332" s="49"/>
      <c r="P332" s="49"/>
      <c r="Q332" s="49"/>
      <c r="R332" s="49"/>
      <c r="S332" s="49"/>
      <c r="T332" s="49"/>
      <c r="U332" s="49"/>
      <c r="V332" s="41"/>
      <c r="W332" s="115">
        <v>23840584.8</v>
      </c>
      <c r="X332" s="115">
        <v>8878000</v>
      </c>
      <c r="Y332" s="115"/>
      <c r="Z332" s="115"/>
      <c r="AA332" s="115"/>
      <c r="AB332" s="115"/>
      <c r="AC332" s="113">
        <f t="shared" si="7"/>
        <v>32718584.8</v>
      </c>
      <c r="AD332" s="108" t="s">
        <v>370</v>
      </c>
    </row>
    <row r="333" spans="1:30" ht="14.25" thickBot="1" thickTop="1">
      <c r="A333" s="38">
        <v>35919</v>
      </c>
      <c r="B333" s="39" t="s">
        <v>366</v>
      </c>
      <c r="C333" s="40" t="s">
        <v>367</v>
      </c>
      <c r="D333" s="40" t="s">
        <v>821</v>
      </c>
      <c r="E333" s="48"/>
      <c r="F333" s="48"/>
      <c r="G333" s="48"/>
      <c r="H333" s="48">
        <v>354625</v>
      </c>
      <c r="I333" s="48">
        <v>55</v>
      </c>
      <c r="J333" s="48">
        <v>55</v>
      </c>
      <c r="K333" s="48">
        <v>11</v>
      </c>
      <c r="L333" s="48">
        <v>3</v>
      </c>
      <c r="M333" s="49"/>
      <c r="N333" s="49"/>
      <c r="O333" s="49"/>
      <c r="P333" s="49"/>
      <c r="Q333" s="49">
        <v>1</v>
      </c>
      <c r="R333" s="49"/>
      <c r="S333" s="49"/>
      <c r="T333" s="49"/>
      <c r="U333" s="49"/>
      <c r="V333" s="41"/>
      <c r="W333" s="115">
        <v>36152303.1</v>
      </c>
      <c r="X333" s="115">
        <v>11500000</v>
      </c>
      <c r="Y333" s="115"/>
      <c r="Z333" s="115"/>
      <c r="AA333" s="115"/>
      <c r="AB333" s="115"/>
      <c r="AC333" s="113">
        <f t="shared" si="7"/>
        <v>47652303.1</v>
      </c>
      <c r="AD333" s="108" t="s">
        <v>368</v>
      </c>
    </row>
    <row r="334" spans="1:30" ht="14.25" thickBot="1" thickTop="1">
      <c r="A334" s="38">
        <v>35944</v>
      </c>
      <c r="B334" s="39" t="s">
        <v>366</v>
      </c>
      <c r="C334" s="40" t="s">
        <v>367</v>
      </c>
      <c r="D334" s="40" t="s">
        <v>821</v>
      </c>
      <c r="E334" s="48"/>
      <c r="F334" s="48"/>
      <c r="G334" s="48"/>
      <c r="H334" s="48">
        <v>354625</v>
      </c>
      <c r="I334" s="48">
        <v>81</v>
      </c>
      <c r="J334" s="48">
        <v>81</v>
      </c>
      <c r="K334" s="48">
        <v>20</v>
      </c>
      <c r="L334" s="48"/>
      <c r="M334" s="49"/>
      <c r="N334" s="49"/>
      <c r="O334" s="49"/>
      <c r="P334" s="49"/>
      <c r="Q334" s="49"/>
      <c r="R334" s="49"/>
      <c r="S334" s="49"/>
      <c r="T334" s="49"/>
      <c r="U334" s="49"/>
      <c r="V334" s="41"/>
      <c r="W334" s="115">
        <v>1189808</v>
      </c>
      <c r="X334" s="115">
        <v>460000</v>
      </c>
      <c r="Y334" s="115"/>
      <c r="Z334" s="115"/>
      <c r="AA334" s="115"/>
      <c r="AB334" s="115"/>
      <c r="AC334" s="113">
        <f t="shared" si="7"/>
        <v>1649808</v>
      </c>
      <c r="AD334" s="108" t="s">
        <v>371</v>
      </c>
    </row>
    <row r="335" spans="1:30" ht="18" thickBot="1" thickTop="1">
      <c r="A335" s="38">
        <v>36068</v>
      </c>
      <c r="B335" s="39" t="s">
        <v>366</v>
      </c>
      <c r="C335" s="40" t="s">
        <v>367</v>
      </c>
      <c r="D335" s="40" t="s">
        <v>891</v>
      </c>
      <c r="E335" s="48"/>
      <c r="F335" s="48"/>
      <c r="G335" s="48"/>
      <c r="H335" s="48">
        <v>354625</v>
      </c>
      <c r="I335" s="48">
        <f>48*5</f>
        <v>240</v>
      </c>
      <c r="J335" s="48">
        <v>0</v>
      </c>
      <c r="K335" s="48">
        <v>48</v>
      </c>
      <c r="L335" s="48"/>
      <c r="M335" s="49"/>
      <c r="N335" s="49"/>
      <c r="O335" s="49"/>
      <c r="P335" s="49"/>
      <c r="Q335" s="49"/>
      <c r="R335" s="49"/>
      <c r="S335" s="49"/>
      <c r="T335" s="49"/>
      <c r="U335" s="49"/>
      <c r="V335" s="41"/>
      <c r="W335" s="115"/>
      <c r="X335" s="115"/>
      <c r="Y335" s="115"/>
      <c r="Z335" s="115"/>
      <c r="AA335" s="115"/>
      <c r="AB335" s="115"/>
      <c r="AC335" s="113">
        <f t="shared" si="7"/>
        <v>0</v>
      </c>
      <c r="AD335" s="108" t="s">
        <v>773</v>
      </c>
    </row>
    <row r="336" spans="1:31" ht="14.25" thickBot="1" thickTop="1">
      <c r="A336" s="38">
        <v>36102</v>
      </c>
      <c r="B336" s="39" t="s">
        <v>366</v>
      </c>
      <c r="C336" s="40" t="s">
        <v>367</v>
      </c>
      <c r="D336" s="40" t="s">
        <v>911</v>
      </c>
      <c r="E336" s="48"/>
      <c r="F336" s="48">
        <v>3</v>
      </c>
      <c r="G336" s="48"/>
      <c r="H336" s="48">
        <v>354625</v>
      </c>
      <c r="I336" s="48">
        <v>154</v>
      </c>
      <c r="J336" s="48">
        <v>154</v>
      </c>
      <c r="K336" s="48">
        <v>30</v>
      </c>
      <c r="L336" s="48">
        <v>3</v>
      </c>
      <c r="M336" s="49"/>
      <c r="N336" s="49"/>
      <c r="O336" s="49"/>
      <c r="P336" s="49"/>
      <c r="Q336" s="49"/>
      <c r="R336" s="49"/>
      <c r="S336" s="49"/>
      <c r="T336" s="49">
        <v>1</v>
      </c>
      <c r="U336" s="49">
        <v>1</v>
      </c>
      <c r="V336" s="41" t="s">
        <v>885</v>
      </c>
      <c r="W336" s="115">
        <v>5748866.7</v>
      </c>
      <c r="X336" s="115">
        <v>690000</v>
      </c>
      <c r="Y336" s="115"/>
      <c r="Z336" s="115"/>
      <c r="AA336" s="115"/>
      <c r="AB336" s="115"/>
      <c r="AC336" s="113">
        <f t="shared" si="7"/>
        <v>6438866.7</v>
      </c>
      <c r="AD336" s="108" t="s">
        <v>886</v>
      </c>
      <c r="AE336" s="4" t="s">
        <v>594</v>
      </c>
    </row>
    <row r="337" spans="1:30" ht="14.25" thickBot="1" thickTop="1">
      <c r="A337" s="38">
        <v>35852</v>
      </c>
      <c r="B337" s="39" t="s">
        <v>48</v>
      </c>
      <c r="C337" s="40" t="s">
        <v>48</v>
      </c>
      <c r="D337" s="40" t="s">
        <v>884</v>
      </c>
      <c r="E337" s="48"/>
      <c r="F337" s="48"/>
      <c r="G337" s="48"/>
      <c r="H337" s="48">
        <v>46254</v>
      </c>
      <c r="I337" s="48"/>
      <c r="J337" s="48"/>
      <c r="K337" s="48"/>
      <c r="L337" s="48"/>
      <c r="M337" s="49"/>
      <c r="N337" s="49"/>
      <c r="O337" s="49"/>
      <c r="P337" s="49"/>
      <c r="Q337" s="49"/>
      <c r="R337" s="49"/>
      <c r="S337" s="49"/>
      <c r="T337" s="49"/>
      <c r="U337" s="49"/>
      <c r="V337" s="41"/>
      <c r="W337" s="115"/>
      <c r="X337" s="115">
        <v>17710000</v>
      </c>
      <c r="Y337" s="115"/>
      <c r="Z337" s="115"/>
      <c r="AA337" s="115"/>
      <c r="AB337" s="115"/>
      <c r="AC337" s="113">
        <f t="shared" si="7"/>
        <v>17710000</v>
      </c>
      <c r="AD337" s="108"/>
    </row>
    <row r="338" spans="1:31" ht="24" thickBot="1" thickTop="1">
      <c r="A338" s="38">
        <v>36105</v>
      </c>
      <c r="B338" s="39" t="s">
        <v>899</v>
      </c>
      <c r="C338" s="40" t="s">
        <v>377</v>
      </c>
      <c r="D338" s="40" t="s">
        <v>821</v>
      </c>
      <c r="E338" s="48"/>
      <c r="F338" s="48"/>
      <c r="G338" s="48"/>
      <c r="H338" s="48">
        <v>157443</v>
      </c>
      <c r="I338" s="48"/>
      <c r="J338" s="48"/>
      <c r="K338" s="48"/>
      <c r="L338" s="48"/>
      <c r="M338" s="49"/>
      <c r="N338" s="49"/>
      <c r="O338" s="49"/>
      <c r="P338" s="49"/>
      <c r="Q338" s="49"/>
      <c r="R338" s="49"/>
      <c r="S338" s="49"/>
      <c r="T338" s="49"/>
      <c r="U338" s="49"/>
      <c r="V338" s="41"/>
      <c r="W338" s="115"/>
      <c r="X338" s="115"/>
      <c r="Y338" s="115"/>
      <c r="Z338" s="115">
        <v>2204000</v>
      </c>
      <c r="AA338" s="115"/>
      <c r="AB338" s="115"/>
      <c r="AC338" s="113">
        <f t="shared" si="7"/>
        <v>2204000</v>
      </c>
      <c r="AD338" s="108"/>
      <c r="AE338" s="4" t="s">
        <v>594</v>
      </c>
    </row>
    <row r="339" spans="1:30" ht="18" thickBot="1" thickTop="1">
      <c r="A339" s="38">
        <v>35998</v>
      </c>
      <c r="B339" s="39" t="s">
        <v>899</v>
      </c>
      <c r="C339" s="40" t="s">
        <v>59</v>
      </c>
      <c r="D339" s="40" t="s">
        <v>891</v>
      </c>
      <c r="E339" s="48"/>
      <c r="F339" s="48"/>
      <c r="G339" s="48"/>
      <c r="H339" s="48">
        <v>18731</v>
      </c>
      <c r="I339" s="48">
        <v>44</v>
      </c>
      <c r="J339" s="48">
        <v>44</v>
      </c>
      <c r="K339" s="48">
        <v>10</v>
      </c>
      <c r="L339" s="48"/>
      <c r="M339" s="49"/>
      <c r="N339" s="49"/>
      <c r="O339" s="49"/>
      <c r="P339" s="49"/>
      <c r="Q339" s="49"/>
      <c r="R339" s="49"/>
      <c r="S339" s="49"/>
      <c r="T339" s="49"/>
      <c r="U339" s="49"/>
      <c r="V339" s="41"/>
      <c r="W339" s="115">
        <v>2074087.6</v>
      </c>
      <c r="X339" s="115">
        <v>920000</v>
      </c>
      <c r="Y339" s="115">
        <v>1026600</v>
      </c>
      <c r="Z339" s="115"/>
      <c r="AA339" s="115"/>
      <c r="AB339" s="115"/>
      <c r="AC339" s="113">
        <f t="shared" si="7"/>
        <v>4020687.6</v>
      </c>
      <c r="AD339" s="108" t="s">
        <v>696</v>
      </c>
    </row>
    <row r="340" spans="1:30" ht="26.25" thickBot="1" thickTop="1">
      <c r="A340" s="38">
        <v>35823</v>
      </c>
      <c r="B340" s="40" t="s">
        <v>899</v>
      </c>
      <c r="C340" s="40" t="s">
        <v>900</v>
      </c>
      <c r="D340" s="40" t="s">
        <v>821</v>
      </c>
      <c r="E340" s="48"/>
      <c r="F340" s="48"/>
      <c r="G340" s="48"/>
      <c r="H340" s="48">
        <v>414365</v>
      </c>
      <c r="I340" s="48">
        <v>900</v>
      </c>
      <c r="J340" s="48">
        <v>900</v>
      </c>
      <c r="K340" s="48">
        <v>190</v>
      </c>
      <c r="L340" s="48">
        <v>7</v>
      </c>
      <c r="M340" s="49">
        <v>173</v>
      </c>
      <c r="N340" s="49"/>
      <c r="O340" s="49"/>
      <c r="P340" s="49"/>
      <c r="Q340" s="49"/>
      <c r="R340" s="49"/>
      <c r="S340" s="49"/>
      <c r="T340" s="49"/>
      <c r="U340" s="49"/>
      <c r="V340" s="41"/>
      <c r="W340" s="115">
        <v>31523640</v>
      </c>
      <c r="X340" s="115">
        <v>11500000</v>
      </c>
      <c r="Y340" s="115">
        <v>6885760</v>
      </c>
      <c r="Z340" s="115"/>
      <c r="AA340" s="115"/>
      <c r="AB340" s="115"/>
      <c r="AC340" s="113">
        <f t="shared" si="7"/>
        <v>49909400</v>
      </c>
      <c r="AD340" s="108" t="s">
        <v>901</v>
      </c>
    </row>
    <row r="341" spans="1:30" ht="14.25" thickBot="1" thickTop="1">
      <c r="A341" s="38">
        <v>35834</v>
      </c>
      <c r="B341" s="39" t="s">
        <v>899</v>
      </c>
      <c r="C341" s="40" t="s">
        <v>900</v>
      </c>
      <c r="D341" s="40" t="s">
        <v>891</v>
      </c>
      <c r="E341" s="48"/>
      <c r="F341" s="48"/>
      <c r="G341" s="48"/>
      <c r="H341" s="48">
        <v>414365</v>
      </c>
      <c r="I341" s="48">
        <v>47</v>
      </c>
      <c r="J341" s="48">
        <v>47</v>
      </c>
      <c r="K341" s="48">
        <v>35</v>
      </c>
      <c r="L341" s="48">
        <v>24</v>
      </c>
      <c r="M341" s="49"/>
      <c r="N341" s="49"/>
      <c r="O341" s="49"/>
      <c r="P341" s="49"/>
      <c r="Q341" s="49"/>
      <c r="R341" s="49"/>
      <c r="S341" s="49"/>
      <c r="T341" s="49"/>
      <c r="U341" s="49"/>
      <c r="V341" s="41"/>
      <c r="W341" s="115">
        <v>408900</v>
      </c>
      <c r="X341" s="115">
        <v>575000</v>
      </c>
      <c r="Y341" s="115"/>
      <c r="Z341" s="115"/>
      <c r="AA341" s="115"/>
      <c r="AB341" s="115"/>
      <c r="AC341" s="113">
        <f t="shared" si="7"/>
        <v>983900</v>
      </c>
      <c r="AD341" s="108"/>
    </row>
    <row r="342" spans="1:30" ht="14.25" thickBot="1" thickTop="1">
      <c r="A342" s="38">
        <v>35962</v>
      </c>
      <c r="B342" s="39" t="s">
        <v>899</v>
      </c>
      <c r="C342" s="40" t="s">
        <v>476</v>
      </c>
      <c r="D342" s="40" t="s">
        <v>821</v>
      </c>
      <c r="E342" s="48"/>
      <c r="F342" s="48"/>
      <c r="G342" s="48"/>
      <c r="H342" s="48">
        <v>11825</v>
      </c>
      <c r="I342" s="48"/>
      <c r="J342" s="48"/>
      <c r="K342" s="48"/>
      <c r="L342" s="48"/>
      <c r="M342" s="49"/>
      <c r="N342" s="49"/>
      <c r="O342" s="49"/>
      <c r="P342" s="49"/>
      <c r="Q342" s="49"/>
      <c r="R342" s="49"/>
      <c r="S342" s="49"/>
      <c r="T342" s="49"/>
      <c r="U342" s="49"/>
      <c r="V342" s="41"/>
      <c r="W342" s="115">
        <v>256818.6</v>
      </c>
      <c r="X342" s="115">
        <v>690000</v>
      </c>
      <c r="Y342" s="115">
        <v>344288</v>
      </c>
      <c r="Z342" s="115"/>
      <c r="AA342" s="115"/>
      <c r="AB342" s="115"/>
      <c r="AC342" s="113">
        <f t="shared" si="7"/>
        <v>1291106.6</v>
      </c>
      <c r="AD342" s="108" t="s">
        <v>294</v>
      </c>
    </row>
    <row r="343" spans="1:30" ht="14.25" thickBot="1" thickTop="1">
      <c r="A343" s="38">
        <v>35965</v>
      </c>
      <c r="B343" s="39" t="s">
        <v>899</v>
      </c>
      <c r="C343" s="40" t="s">
        <v>388</v>
      </c>
      <c r="D343" s="40" t="s">
        <v>821</v>
      </c>
      <c r="E343" s="48"/>
      <c r="F343" s="48"/>
      <c r="G343" s="48"/>
      <c r="H343" s="48">
        <v>2009</v>
      </c>
      <c r="I343" s="48"/>
      <c r="J343" s="48"/>
      <c r="K343" s="48"/>
      <c r="L343" s="48"/>
      <c r="M343" s="49"/>
      <c r="N343" s="49"/>
      <c r="O343" s="49"/>
      <c r="P343" s="49"/>
      <c r="Q343" s="49"/>
      <c r="R343" s="49"/>
      <c r="S343" s="49"/>
      <c r="T343" s="49"/>
      <c r="U343" s="49"/>
      <c r="V343" s="41"/>
      <c r="W343" s="115">
        <v>328233.3</v>
      </c>
      <c r="X343" s="115">
        <v>805000</v>
      </c>
      <c r="Y343" s="115">
        <v>482003.2</v>
      </c>
      <c r="Z343" s="115"/>
      <c r="AA343" s="115"/>
      <c r="AB343" s="115"/>
      <c r="AC343" s="113">
        <f t="shared" si="7"/>
        <v>1615236.5</v>
      </c>
      <c r="AD343" s="108" t="s">
        <v>294</v>
      </c>
    </row>
    <row r="344" spans="1:30" ht="14.25" thickBot="1" thickTop="1">
      <c r="A344" s="38">
        <v>35955</v>
      </c>
      <c r="B344" s="39" t="s">
        <v>899</v>
      </c>
      <c r="C344" s="40" t="s">
        <v>474</v>
      </c>
      <c r="D344" s="40" t="s">
        <v>821</v>
      </c>
      <c r="E344" s="48"/>
      <c r="F344" s="48"/>
      <c r="G344" s="48"/>
      <c r="H344" s="48">
        <v>3276</v>
      </c>
      <c r="I344" s="48"/>
      <c r="J344" s="48"/>
      <c r="K344" s="48"/>
      <c r="L344" s="48"/>
      <c r="M344" s="49"/>
      <c r="N344" s="49"/>
      <c r="O344" s="49"/>
      <c r="P344" s="49"/>
      <c r="Q344" s="49"/>
      <c r="R344" s="49"/>
      <c r="S344" s="49"/>
      <c r="T344" s="49"/>
      <c r="U344" s="49"/>
      <c r="V344" s="41"/>
      <c r="W344" s="115">
        <v>830097</v>
      </c>
      <c r="X344" s="115">
        <v>575000</v>
      </c>
      <c r="Y344" s="115">
        <v>344288</v>
      </c>
      <c r="Z344" s="115"/>
      <c r="AA344" s="115"/>
      <c r="AB344" s="115"/>
      <c r="AC344" s="113">
        <f t="shared" si="7"/>
        <v>1749385</v>
      </c>
      <c r="AD344" s="108" t="s">
        <v>294</v>
      </c>
    </row>
    <row r="345" spans="1:30" ht="14.25" thickBot="1" thickTop="1">
      <c r="A345" s="38">
        <v>35955</v>
      </c>
      <c r="B345" s="39" t="s">
        <v>899</v>
      </c>
      <c r="C345" s="40" t="s">
        <v>473</v>
      </c>
      <c r="D345" s="40" t="s">
        <v>821</v>
      </c>
      <c r="E345" s="48"/>
      <c r="F345" s="48"/>
      <c r="G345" s="48"/>
      <c r="H345" s="48">
        <v>5942</v>
      </c>
      <c r="I345" s="48"/>
      <c r="J345" s="48"/>
      <c r="K345" s="48"/>
      <c r="L345" s="48"/>
      <c r="M345" s="49"/>
      <c r="N345" s="49"/>
      <c r="O345" s="49"/>
      <c r="P345" s="49"/>
      <c r="Q345" s="49"/>
      <c r="R345" s="49"/>
      <c r="S345" s="49"/>
      <c r="T345" s="49"/>
      <c r="U345" s="49"/>
      <c r="V345" s="41"/>
      <c r="W345" s="115">
        <v>1212511.2</v>
      </c>
      <c r="X345" s="115">
        <v>460000</v>
      </c>
      <c r="Y345" s="115">
        <v>206572.8</v>
      </c>
      <c r="Z345" s="115"/>
      <c r="AA345" s="115"/>
      <c r="AB345" s="115"/>
      <c r="AC345" s="113">
        <f t="shared" si="7"/>
        <v>1879084</v>
      </c>
      <c r="AD345" s="108" t="s">
        <v>294</v>
      </c>
    </row>
    <row r="346" spans="1:30" ht="34.5" thickBot="1" thickTop="1">
      <c r="A346" s="38">
        <v>36068</v>
      </c>
      <c r="B346" s="39" t="s">
        <v>899</v>
      </c>
      <c r="C346" s="40" t="s">
        <v>733</v>
      </c>
      <c r="D346" s="40" t="s">
        <v>891</v>
      </c>
      <c r="E346" s="48"/>
      <c r="F346" s="48"/>
      <c r="G346" s="48"/>
      <c r="H346" s="48">
        <v>12544</v>
      </c>
      <c r="I346" s="48">
        <f>50*5</f>
        <v>250</v>
      </c>
      <c r="J346" s="48">
        <v>0</v>
      </c>
      <c r="K346" s="48">
        <v>50</v>
      </c>
      <c r="L346" s="48">
        <v>50</v>
      </c>
      <c r="M346" s="49"/>
      <c r="N346" s="49"/>
      <c r="O346" s="49"/>
      <c r="P346" s="49"/>
      <c r="Q346" s="49"/>
      <c r="R346" s="49"/>
      <c r="S346" s="49"/>
      <c r="T346" s="49"/>
      <c r="U346" s="49"/>
      <c r="V346" s="41"/>
      <c r="W346" s="115"/>
      <c r="X346" s="115"/>
      <c r="Y346" s="115"/>
      <c r="Z346" s="115"/>
      <c r="AA346" s="115"/>
      <c r="AB346" s="115"/>
      <c r="AC346" s="113">
        <f t="shared" si="7"/>
        <v>0</v>
      </c>
      <c r="AD346" s="108" t="s">
        <v>734</v>
      </c>
    </row>
    <row r="347" spans="1:31" ht="34.5" thickBot="1" thickTop="1">
      <c r="A347" s="38">
        <v>36042</v>
      </c>
      <c r="B347" s="39" t="s">
        <v>899</v>
      </c>
      <c r="C347" s="40" t="s">
        <v>733</v>
      </c>
      <c r="D347" s="40" t="s">
        <v>891</v>
      </c>
      <c r="E347" s="48"/>
      <c r="F347" s="48"/>
      <c r="G347" s="48"/>
      <c r="H347" s="48">
        <v>12544</v>
      </c>
      <c r="I347" s="48">
        <v>250</v>
      </c>
      <c r="J347" s="48">
        <v>250</v>
      </c>
      <c r="K347" s="48">
        <v>50</v>
      </c>
      <c r="L347" s="48"/>
      <c r="M347" s="49">
        <v>50</v>
      </c>
      <c r="N347" s="49"/>
      <c r="O347" s="49"/>
      <c r="P347" s="49"/>
      <c r="Q347" s="49"/>
      <c r="R347" s="49"/>
      <c r="S347" s="49"/>
      <c r="T347" s="49"/>
      <c r="U347" s="49"/>
      <c r="V347" s="41"/>
      <c r="W347" s="115"/>
      <c r="X347" s="115">
        <v>1150000</v>
      </c>
      <c r="Y347" s="115">
        <v>684400</v>
      </c>
      <c r="Z347" s="115"/>
      <c r="AA347" s="115"/>
      <c r="AB347" s="115"/>
      <c r="AC347" s="113">
        <f t="shared" si="7"/>
        <v>1834400</v>
      </c>
      <c r="AD347" s="108" t="s">
        <v>123</v>
      </c>
      <c r="AE347" s="4" t="s">
        <v>594</v>
      </c>
    </row>
    <row r="348" spans="1:30" ht="24" thickBot="1" thickTop="1">
      <c r="A348" s="38">
        <v>36008</v>
      </c>
      <c r="B348" s="39" t="s">
        <v>899</v>
      </c>
      <c r="C348" s="40" t="s">
        <v>385</v>
      </c>
      <c r="D348" s="40" t="s">
        <v>821</v>
      </c>
      <c r="E348" s="48"/>
      <c r="F348" s="48"/>
      <c r="G348" s="48"/>
      <c r="H348" s="48">
        <v>192856</v>
      </c>
      <c r="I348" s="48">
        <v>255</v>
      </c>
      <c r="J348" s="48">
        <v>255</v>
      </c>
      <c r="K348" s="48">
        <v>51</v>
      </c>
      <c r="L348" s="48"/>
      <c r="M348" s="49"/>
      <c r="N348" s="49"/>
      <c r="O348" s="49"/>
      <c r="P348" s="49"/>
      <c r="Q348" s="49"/>
      <c r="R348" s="49"/>
      <c r="S348" s="49"/>
      <c r="T348" s="49"/>
      <c r="U348" s="49"/>
      <c r="V348" s="41"/>
      <c r="W348" s="115">
        <v>2781247.7</v>
      </c>
      <c r="X348" s="115">
        <v>1380000</v>
      </c>
      <c r="Y348" s="115">
        <v>1711000</v>
      </c>
      <c r="Z348" s="115"/>
      <c r="AA348" s="115"/>
      <c r="AB348" s="115"/>
      <c r="AC348" s="113">
        <f t="shared" si="7"/>
        <v>5872247.7</v>
      </c>
      <c r="AD348" s="108"/>
    </row>
    <row r="349" spans="1:30" ht="26.25" thickBot="1" thickTop="1">
      <c r="A349" s="38">
        <v>35823</v>
      </c>
      <c r="B349" s="40" t="s">
        <v>899</v>
      </c>
      <c r="C349" s="40" t="s">
        <v>902</v>
      </c>
      <c r="D349" s="40" t="s">
        <v>821</v>
      </c>
      <c r="E349" s="48"/>
      <c r="F349" s="48">
        <v>7</v>
      </c>
      <c r="G349" s="48"/>
      <c r="H349" s="48">
        <v>79799</v>
      </c>
      <c r="I349" s="48">
        <v>2430</v>
      </c>
      <c r="J349" s="48">
        <v>2430</v>
      </c>
      <c r="K349" s="48">
        <v>446</v>
      </c>
      <c r="L349" s="48">
        <v>7</v>
      </c>
      <c r="M349" s="49">
        <v>446</v>
      </c>
      <c r="N349" s="49"/>
      <c r="O349" s="49"/>
      <c r="P349" s="49"/>
      <c r="Q349" s="49"/>
      <c r="R349" s="49"/>
      <c r="S349" s="49"/>
      <c r="T349" s="49"/>
      <c r="U349" s="49"/>
      <c r="V349" s="41"/>
      <c r="W349" s="115">
        <v>24792548</v>
      </c>
      <c r="X349" s="115">
        <v>11500000</v>
      </c>
      <c r="Y349" s="115">
        <v>5508608</v>
      </c>
      <c r="Z349" s="115"/>
      <c r="AA349" s="115"/>
      <c r="AB349" s="115"/>
      <c r="AC349" s="113">
        <f t="shared" si="7"/>
        <v>41801156</v>
      </c>
      <c r="AD349" s="108" t="s">
        <v>903</v>
      </c>
    </row>
    <row r="350" spans="1:31" ht="14.25" thickBot="1" thickTop="1">
      <c r="A350" s="38">
        <v>36105</v>
      </c>
      <c r="B350" s="39" t="s">
        <v>899</v>
      </c>
      <c r="C350" s="40" t="s">
        <v>805</v>
      </c>
      <c r="D350" s="40" t="s">
        <v>821</v>
      </c>
      <c r="E350" s="48"/>
      <c r="F350" s="48"/>
      <c r="G350" s="48"/>
      <c r="H350" s="48">
        <v>12640</v>
      </c>
      <c r="I350" s="48"/>
      <c r="J350" s="48"/>
      <c r="K350" s="48"/>
      <c r="L350" s="48"/>
      <c r="M350" s="49"/>
      <c r="N350" s="49"/>
      <c r="O350" s="49"/>
      <c r="P350" s="49"/>
      <c r="Q350" s="49"/>
      <c r="R350" s="49"/>
      <c r="S350" s="49"/>
      <c r="T350" s="49"/>
      <c r="U350" s="49"/>
      <c r="V350" s="41"/>
      <c r="W350" s="115"/>
      <c r="X350" s="115"/>
      <c r="Y350" s="115"/>
      <c r="Z350" s="115">
        <v>1763200</v>
      </c>
      <c r="AA350" s="115"/>
      <c r="AB350" s="115">
        <v>5000000</v>
      </c>
      <c r="AC350" s="113">
        <f t="shared" si="7"/>
        <v>6763200</v>
      </c>
      <c r="AD350" s="108" t="s">
        <v>750</v>
      </c>
      <c r="AE350" s="4" t="s">
        <v>594</v>
      </c>
    </row>
    <row r="351" spans="1:30" ht="34.5" thickBot="1" thickTop="1">
      <c r="A351" s="38">
        <v>35834</v>
      </c>
      <c r="B351" s="39" t="s">
        <v>899</v>
      </c>
      <c r="C351" s="40" t="s">
        <v>44</v>
      </c>
      <c r="D351" s="40" t="s">
        <v>821</v>
      </c>
      <c r="E351" s="48">
        <v>1</v>
      </c>
      <c r="F351" s="48">
        <v>4</v>
      </c>
      <c r="G351" s="48"/>
      <c r="H351" s="48">
        <v>19832</v>
      </c>
      <c r="I351" s="48">
        <v>998</v>
      </c>
      <c r="J351" s="48">
        <v>998</v>
      </c>
      <c r="K351" s="48">
        <v>196</v>
      </c>
      <c r="L351" s="48">
        <v>2</v>
      </c>
      <c r="M351" s="49"/>
      <c r="N351" s="49">
        <v>1</v>
      </c>
      <c r="O351" s="49"/>
      <c r="P351" s="49"/>
      <c r="Q351" s="49">
        <v>1</v>
      </c>
      <c r="R351" s="49"/>
      <c r="S351" s="49"/>
      <c r="T351" s="49"/>
      <c r="U351" s="49"/>
      <c r="V351" s="41"/>
      <c r="W351" s="115">
        <v>1363000</v>
      </c>
      <c r="X351" s="115"/>
      <c r="Y351" s="115"/>
      <c r="Z351" s="115"/>
      <c r="AA351" s="115"/>
      <c r="AB351" s="115"/>
      <c r="AC351" s="113">
        <f aca="true" t="shared" si="8" ref="AC351:AC404">+W351+X351+Y351+Z351+AA351+AB351</f>
        <v>1363000</v>
      </c>
      <c r="AD351" s="108" t="s">
        <v>45</v>
      </c>
    </row>
    <row r="352" spans="1:30" ht="14.25" thickBot="1" thickTop="1">
      <c r="A352" s="38">
        <v>35955</v>
      </c>
      <c r="B352" s="39" t="s">
        <v>899</v>
      </c>
      <c r="C352" s="40" t="s">
        <v>475</v>
      </c>
      <c r="D352" s="40" t="s">
        <v>821</v>
      </c>
      <c r="E352" s="48"/>
      <c r="F352" s="48"/>
      <c r="G352" s="48"/>
      <c r="H352" s="48">
        <v>4222</v>
      </c>
      <c r="I352" s="48"/>
      <c r="J352" s="48"/>
      <c r="K352" s="48"/>
      <c r="L352" s="48"/>
      <c r="M352" s="49"/>
      <c r="N352" s="49"/>
      <c r="O352" s="49"/>
      <c r="P352" s="49"/>
      <c r="Q352" s="49"/>
      <c r="R352" s="49"/>
      <c r="S352" s="49"/>
      <c r="T352" s="49"/>
      <c r="U352" s="49"/>
      <c r="V352" s="41"/>
      <c r="W352" s="115">
        <v>1850564.7</v>
      </c>
      <c r="X352" s="115">
        <v>1150000</v>
      </c>
      <c r="Y352" s="115">
        <v>482003.2</v>
      </c>
      <c r="Z352" s="115"/>
      <c r="AA352" s="115"/>
      <c r="AB352" s="115"/>
      <c r="AC352" s="113">
        <f t="shared" si="8"/>
        <v>3482567.9000000004</v>
      </c>
      <c r="AD352" s="108" t="s">
        <v>294</v>
      </c>
    </row>
    <row r="353" spans="1:30" ht="24" thickBot="1" thickTop="1">
      <c r="A353" s="38">
        <v>35921</v>
      </c>
      <c r="B353" s="39" t="s">
        <v>899</v>
      </c>
      <c r="C353" s="40" t="s">
        <v>375</v>
      </c>
      <c r="D353" s="40" t="s">
        <v>821</v>
      </c>
      <c r="E353" s="48"/>
      <c r="F353" s="48"/>
      <c r="G353" s="48"/>
      <c r="H353" s="48">
        <v>26486</v>
      </c>
      <c r="I353" s="48">
        <v>700</v>
      </c>
      <c r="J353" s="48">
        <v>0</v>
      </c>
      <c r="K353" s="48">
        <v>340</v>
      </c>
      <c r="L353" s="48"/>
      <c r="M353" s="49"/>
      <c r="N353" s="49"/>
      <c r="O353" s="49"/>
      <c r="P353" s="49"/>
      <c r="Q353" s="49"/>
      <c r="R353" s="49"/>
      <c r="S353" s="49"/>
      <c r="T353" s="49"/>
      <c r="U353" s="49"/>
      <c r="V353" s="41"/>
      <c r="W353" s="115"/>
      <c r="X353" s="115"/>
      <c r="Y353" s="115"/>
      <c r="Z353" s="115"/>
      <c r="AA353" s="115"/>
      <c r="AB353" s="115"/>
      <c r="AC353" s="113">
        <f t="shared" si="8"/>
        <v>0</v>
      </c>
      <c r="AD353" s="108" t="s">
        <v>376</v>
      </c>
    </row>
    <row r="354" spans="1:31" ht="24" thickBot="1" thickTop="1">
      <c r="A354" s="38">
        <v>36105</v>
      </c>
      <c r="B354" s="39" t="s">
        <v>899</v>
      </c>
      <c r="C354" s="40" t="s">
        <v>375</v>
      </c>
      <c r="D354" s="40" t="s">
        <v>821</v>
      </c>
      <c r="E354" s="48"/>
      <c r="F354" s="48"/>
      <c r="G354" s="48"/>
      <c r="H354" s="48">
        <v>26486</v>
      </c>
      <c r="I354" s="48"/>
      <c r="J354" s="48"/>
      <c r="K354" s="48"/>
      <c r="L354" s="48"/>
      <c r="M354" s="49"/>
      <c r="N354" s="49"/>
      <c r="O354" s="49"/>
      <c r="P354" s="49"/>
      <c r="Q354" s="49"/>
      <c r="R354" s="49"/>
      <c r="S354" s="49"/>
      <c r="T354" s="49"/>
      <c r="U354" s="49"/>
      <c r="V354" s="41"/>
      <c r="W354" s="115"/>
      <c r="X354" s="115"/>
      <c r="Y354" s="115"/>
      <c r="Z354" s="115">
        <v>2204000</v>
      </c>
      <c r="AA354" s="115"/>
      <c r="AB354" s="115"/>
      <c r="AC354" s="113">
        <f t="shared" si="8"/>
        <v>2204000</v>
      </c>
      <c r="AD354" s="108"/>
      <c r="AE354" s="4" t="s">
        <v>594</v>
      </c>
    </row>
    <row r="355" spans="1:30" ht="14.25" thickBot="1" thickTop="1">
      <c r="A355" s="38">
        <v>35834</v>
      </c>
      <c r="B355" s="39" t="s">
        <v>899</v>
      </c>
      <c r="C355" s="40" t="s">
        <v>46</v>
      </c>
      <c r="D355" s="40" t="s">
        <v>891</v>
      </c>
      <c r="E355" s="48"/>
      <c r="F355" s="48"/>
      <c r="G355" s="48"/>
      <c r="H355" s="48">
        <v>36885</v>
      </c>
      <c r="I355" s="48">
        <v>75</v>
      </c>
      <c r="J355" s="48">
        <v>75</v>
      </c>
      <c r="K355" s="48">
        <v>15</v>
      </c>
      <c r="L355" s="48"/>
      <c r="M355" s="49">
        <v>15</v>
      </c>
      <c r="N355" s="49">
        <v>11</v>
      </c>
      <c r="O355" s="49"/>
      <c r="P355" s="49"/>
      <c r="Q355" s="49">
        <v>1</v>
      </c>
      <c r="R355" s="49">
        <v>1</v>
      </c>
      <c r="S355" s="49"/>
      <c r="T355" s="49"/>
      <c r="U355" s="49"/>
      <c r="V355" s="41"/>
      <c r="W355" s="115">
        <v>9813600</v>
      </c>
      <c r="X355" s="115">
        <v>10350000</v>
      </c>
      <c r="Y355" s="115"/>
      <c r="Z355" s="115"/>
      <c r="AA355" s="115"/>
      <c r="AB355" s="115"/>
      <c r="AC355" s="113">
        <f t="shared" si="8"/>
        <v>20163600</v>
      </c>
      <c r="AD355" s="108" t="s">
        <v>47</v>
      </c>
    </row>
    <row r="356" spans="1:30" ht="18" thickBot="1" thickTop="1">
      <c r="A356" s="38">
        <v>35920</v>
      </c>
      <c r="B356" s="39" t="s">
        <v>899</v>
      </c>
      <c r="C356" s="40" t="s">
        <v>46</v>
      </c>
      <c r="D356" s="40" t="s">
        <v>821</v>
      </c>
      <c r="E356" s="48"/>
      <c r="F356" s="48"/>
      <c r="G356" s="48"/>
      <c r="H356" s="48">
        <v>36885</v>
      </c>
      <c r="I356" s="48">
        <v>1150</v>
      </c>
      <c r="J356" s="48">
        <v>0</v>
      </c>
      <c r="K356" s="48">
        <v>230</v>
      </c>
      <c r="L356" s="48"/>
      <c r="M356" s="49"/>
      <c r="N356" s="49">
        <v>6</v>
      </c>
      <c r="O356" s="49"/>
      <c r="P356" s="49"/>
      <c r="Q356" s="49"/>
      <c r="R356" s="49"/>
      <c r="S356" s="49"/>
      <c r="T356" s="49"/>
      <c r="U356" s="49"/>
      <c r="V356" s="41"/>
      <c r="W356" s="115"/>
      <c r="X356" s="115"/>
      <c r="Y356" s="115"/>
      <c r="Z356" s="115"/>
      <c r="AA356" s="115"/>
      <c r="AB356" s="115"/>
      <c r="AC356" s="113">
        <f t="shared" si="8"/>
        <v>0</v>
      </c>
      <c r="AD356" s="108" t="s">
        <v>373</v>
      </c>
    </row>
    <row r="357" spans="1:30" ht="24" thickBot="1" thickTop="1">
      <c r="A357" s="38">
        <v>35965</v>
      </c>
      <c r="B357" s="39" t="s">
        <v>899</v>
      </c>
      <c r="C357" s="40" t="s">
        <v>477</v>
      </c>
      <c r="D357" s="40" t="s">
        <v>821</v>
      </c>
      <c r="E357" s="48"/>
      <c r="F357" s="48"/>
      <c r="G357" s="48"/>
      <c r="H357" s="48">
        <v>17831</v>
      </c>
      <c r="I357" s="48"/>
      <c r="J357" s="48"/>
      <c r="K357" s="48"/>
      <c r="L357" s="48"/>
      <c r="M357" s="49"/>
      <c r="N357" s="49"/>
      <c r="O357" s="49"/>
      <c r="P357" s="49"/>
      <c r="Q357" s="49"/>
      <c r="R357" s="49"/>
      <c r="S357" s="49"/>
      <c r="T357" s="49"/>
      <c r="U357" s="49"/>
      <c r="V357" s="41"/>
      <c r="W357" s="115">
        <v>1393196.75</v>
      </c>
      <c r="X357" s="115"/>
      <c r="Y357" s="115">
        <v>482003.2</v>
      </c>
      <c r="Z357" s="115"/>
      <c r="AA357" s="115"/>
      <c r="AB357" s="115"/>
      <c r="AC357" s="113">
        <f t="shared" si="8"/>
        <v>1875199.95</v>
      </c>
      <c r="AD357" s="108" t="s">
        <v>294</v>
      </c>
    </row>
    <row r="358" spans="1:30" ht="34.5" thickBot="1" thickTop="1">
      <c r="A358" s="38">
        <v>35921</v>
      </c>
      <c r="B358" s="39" t="s">
        <v>899</v>
      </c>
      <c r="C358" s="40" t="s">
        <v>379</v>
      </c>
      <c r="D358" s="40" t="s">
        <v>107</v>
      </c>
      <c r="E358" s="48">
        <v>2</v>
      </c>
      <c r="F358" s="48"/>
      <c r="G358" s="48">
        <v>1</v>
      </c>
      <c r="H358" s="48">
        <v>8731</v>
      </c>
      <c r="I358" s="48">
        <v>200</v>
      </c>
      <c r="J358" s="48">
        <v>200</v>
      </c>
      <c r="K358" s="48">
        <v>40</v>
      </c>
      <c r="L358" s="48">
        <v>3</v>
      </c>
      <c r="M358" s="49">
        <v>1</v>
      </c>
      <c r="N358" s="49">
        <v>1</v>
      </c>
      <c r="O358" s="49">
        <v>1</v>
      </c>
      <c r="P358" s="49">
        <v>7</v>
      </c>
      <c r="Q358" s="49">
        <v>3</v>
      </c>
      <c r="R358" s="49"/>
      <c r="S358" s="49"/>
      <c r="T358" s="49"/>
      <c r="U358" s="49"/>
      <c r="V358" s="41" t="s">
        <v>380</v>
      </c>
      <c r="W358" s="115"/>
      <c r="X358" s="115"/>
      <c r="Y358" s="115"/>
      <c r="Z358" s="115"/>
      <c r="AA358" s="115"/>
      <c r="AB358" s="115">
        <v>5000000</v>
      </c>
      <c r="AC358" s="113">
        <f t="shared" si="8"/>
        <v>5000000</v>
      </c>
      <c r="AD358" s="108" t="s">
        <v>383</v>
      </c>
    </row>
    <row r="359" spans="1:30" ht="34.5" thickBot="1" thickTop="1">
      <c r="A359" s="38">
        <v>35921</v>
      </c>
      <c r="B359" s="39" t="s">
        <v>899</v>
      </c>
      <c r="C359" s="40" t="s">
        <v>875</v>
      </c>
      <c r="D359" s="40" t="s">
        <v>821</v>
      </c>
      <c r="E359" s="48"/>
      <c r="F359" s="48"/>
      <c r="G359" s="48"/>
      <c r="H359" s="48"/>
      <c r="I359" s="48"/>
      <c r="J359" s="48"/>
      <c r="K359" s="48"/>
      <c r="L359" s="48"/>
      <c r="M359" s="49"/>
      <c r="N359" s="49"/>
      <c r="O359" s="49"/>
      <c r="P359" s="49"/>
      <c r="Q359" s="49"/>
      <c r="R359" s="49"/>
      <c r="S359" s="49"/>
      <c r="T359" s="49"/>
      <c r="U359" s="49"/>
      <c r="V359" s="41"/>
      <c r="W359" s="115">
        <v>47181080</v>
      </c>
      <c r="X359" s="115">
        <v>34500000</v>
      </c>
      <c r="Y359" s="115">
        <v>13771520</v>
      </c>
      <c r="Z359" s="115"/>
      <c r="AA359" s="115"/>
      <c r="AB359" s="115"/>
      <c r="AC359" s="113">
        <f t="shared" si="8"/>
        <v>95452600</v>
      </c>
      <c r="AD359" s="108" t="s">
        <v>393</v>
      </c>
    </row>
    <row r="360" spans="1:30" ht="14.25" thickBot="1" thickTop="1">
      <c r="A360" s="38">
        <v>36008</v>
      </c>
      <c r="B360" s="39" t="s">
        <v>904</v>
      </c>
      <c r="C360" s="40" t="s">
        <v>646</v>
      </c>
      <c r="D360" s="40" t="s">
        <v>911</v>
      </c>
      <c r="E360" s="48"/>
      <c r="F360" s="48"/>
      <c r="G360" s="48"/>
      <c r="H360" s="48">
        <v>45511</v>
      </c>
      <c r="I360" s="48"/>
      <c r="J360" s="48"/>
      <c r="K360" s="48"/>
      <c r="L360" s="48"/>
      <c r="M360" s="49"/>
      <c r="N360" s="49"/>
      <c r="O360" s="49"/>
      <c r="P360" s="49"/>
      <c r="Q360" s="49"/>
      <c r="R360" s="49"/>
      <c r="S360" s="49"/>
      <c r="T360" s="49"/>
      <c r="U360" s="49"/>
      <c r="V360" s="41"/>
      <c r="W360" s="115"/>
      <c r="X360" s="115"/>
      <c r="Y360" s="115">
        <v>3422000</v>
      </c>
      <c r="Z360" s="115"/>
      <c r="AA360" s="115"/>
      <c r="AB360" s="115"/>
      <c r="AC360" s="113">
        <f t="shared" si="8"/>
        <v>3422000</v>
      </c>
      <c r="AD360" s="108" t="s">
        <v>649</v>
      </c>
    </row>
    <row r="361" spans="1:30" ht="14.25" thickBot="1" thickTop="1">
      <c r="A361" s="38">
        <v>36008</v>
      </c>
      <c r="B361" s="39" t="s">
        <v>904</v>
      </c>
      <c r="C361" s="40" t="s">
        <v>646</v>
      </c>
      <c r="D361" s="40" t="s">
        <v>911</v>
      </c>
      <c r="E361" s="48"/>
      <c r="F361" s="48"/>
      <c r="G361" s="48"/>
      <c r="H361" s="48">
        <v>45511</v>
      </c>
      <c r="I361" s="48">
        <f>23*5</f>
        <v>115</v>
      </c>
      <c r="J361" s="48">
        <f>23*5</f>
        <v>115</v>
      </c>
      <c r="K361" s="48">
        <v>23</v>
      </c>
      <c r="L361" s="48"/>
      <c r="M361" s="49"/>
      <c r="N361" s="49"/>
      <c r="O361" s="49"/>
      <c r="P361" s="49"/>
      <c r="Q361" s="49"/>
      <c r="R361" s="49"/>
      <c r="S361" s="49"/>
      <c r="T361" s="49"/>
      <c r="U361" s="49"/>
      <c r="V361" s="41"/>
      <c r="W361" s="115"/>
      <c r="X361" s="115"/>
      <c r="Y361" s="115">
        <v>1396176</v>
      </c>
      <c r="Z361" s="115"/>
      <c r="AA361" s="115"/>
      <c r="AB361" s="115"/>
      <c r="AC361" s="113">
        <f t="shared" si="8"/>
        <v>1396176</v>
      </c>
      <c r="AD361" s="108"/>
    </row>
    <row r="362" spans="1:30" ht="14.25" thickBot="1" thickTop="1">
      <c r="A362" s="38">
        <v>36094</v>
      </c>
      <c r="B362" s="39" t="s">
        <v>904</v>
      </c>
      <c r="C362" s="40" t="s">
        <v>646</v>
      </c>
      <c r="D362" s="40" t="s">
        <v>821</v>
      </c>
      <c r="E362" s="48"/>
      <c r="F362" s="48"/>
      <c r="G362" s="48"/>
      <c r="H362" s="48">
        <v>45511</v>
      </c>
      <c r="I362" s="48">
        <f>420*5</f>
        <v>2100</v>
      </c>
      <c r="J362" s="48">
        <f>420*5</f>
        <v>2100</v>
      </c>
      <c r="K362" s="48">
        <v>420</v>
      </c>
      <c r="L362" s="48"/>
      <c r="M362" s="49"/>
      <c r="N362" s="49"/>
      <c r="O362" s="49"/>
      <c r="P362" s="49"/>
      <c r="Q362" s="49"/>
      <c r="R362" s="49"/>
      <c r="S362" s="49"/>
      <c r="T362" s="49"/>
      <c r="U362" s="49"/>
      <c r="V362" s="41"/>
      <c r="W362" s="115"/>
      <c r="X362" s="115">
        <v>2484000</v>
      </c>
      <c r="Y362" s="115"/>
      <c r="Z362" s="115"/>
      <c r="AA362" s="115"/>
      <c r="AB362" s="115"/>
      <c r="AC362" s="113">
        <f t="shared" si="8"/>
        <v>2484000</v>
      </c>
      <c r="AD362" s="108" t="s">
        <v>354</v>
      </c>
    </row>
    <row r="363" spans="1:30" ht="14.25" thickBot="1" thickTop="1">
      <c r="A363" s="38">
        <v>36008</v>
      </c>
      <c r="B363" s="39" t="s">
        <v>904</v>
      </c>
      <c r="C363" s="40" t="s">
        <v>689</v>
      </c>
      <c r="D363" s="40" t="s">
        <v>911</v>
      </c>
      <c r="E363" s="48"/>
      <c r="F363" s="48"/>
      <c r="G363" s="48"/>
      <c r="H363" s="48">
        <v>12750</v>
      </c>
      <c r="I363" s="48">
        <f>71*5</f>
        <v>355</v>
      </c>
      <c r="J363" s="48">
        <f>71*5</f>
        <v>355</v>
      </c>
      <c r="K363" s="48">
        <v>71</v>
      </c>
      <c r="L363" s="48"/>
      <c r="M363" s="49"/>
      <c r="N363" s="49"/>
      <c r="O363" s="49"/>
      <c r="P363" s="49"/>
      <c r="Q363" s="49"/>
      <c r="R363" s="49"/>
      <c r="S363" s="49"/>
      <c r="T363" s="49"/>
      <c r="U363" s="49"/>
      <c r="V363" s="41"/>
      <c r="W363" s="115"/>
      <c r="X363" s="115"/>
      <c r="Y363" s="115">
        <v>3367248</v>
      </c>
      <c r="Z363" s="115"/>
      <c r="AA363" s="115"/>
      <c r="AB363" s="115"/>
      <c r="AC363" s="113">
        <f t="shared" si="8"/>
        <v>3367248</v>
      </c>
      <c r="AD363" s="108"/>
    </row>
    <row r="364" spans="1:30" ht="14.25" thickBot="1" thickTop="1">
      <c r="A364" s="38">
        <v>36094</v>
      </c>
      <c r="B364" s="39" t="s">
        <v>904</v>
      </c>
      <c r="C364" s="40" t="s">
        <v>689</v>
      </c>
      <c r="D364" s="40" t="s">
        <v>821</v>
      </c>
      <c r="E364" s="48"/>
      <c r="F364" s="48"/>
      <c r="G364" s="48"/>
      <c r="H364" s="48">
        <v>12750</v>
      </c>
      <c r="I364" s="48">
        <f>740*5</f>
        <v>3700</v>
      </c>
      <c r="J364" s="48">
        <f>740*5</f>
        <v>3700</v>
      </c>
      <c r="K364" s="48">
        <v>740</v>
      </c>
      <c r="L364" s="48"/>
      <c r="M364" s="49"/>
      <c r="N364" s="49"/>
      <c r="O364" s="49"/>
      <c r="P364" s="49"/>
      <c r="Q364" s="49"/>
      <c r="R364" s="49"/>
      <c r="S364" s="49"/>
      <c r="T364" s="49"/>
      <c r="U364" s="49"/>
      <c r="V364" s="41"/>
      <c r="W364" s="115"/>
      <c r="X364" s="115">
        <v>4370000</v>
      </c>
      <c r="Y364" s="115"/>
      <c r="Z364" s="115"/>
      <c r="AA364" s="115"/>
      <c r="AB364" s="115"/>
      <c r="AC364" s="113">
        <f t="shared" si="8"/>
        <v>4370000</v>
      </c>
      <c r="AD364" s="108" t="s">
        <v>354</v>
      </c>
    </row>
    <row r="365" spans="1:30" ht="14.25" thickBot="1" thickTop="1">
      <c r="A365" s="38">
        <v>36008</v>
      </c>
      <c r="B365" s="39" t="s">
        <v>904</v>
      </c>
      <c r="C365" s="40" t="s">
        <v>686</v>
      </c>
      <c r="D365" s="40" t="s">
        <v>911</v>
      </c>
      <c r="E365" s="48"/>
      <c r="F365" s="48"/>
      <c r="G365" s="48"/>
      <c r="H365" s="48">
        <v>12054</v>
      </c>
      <c r="I365" s="48">
        <f>68*5</f>
        <v>340</v>
      </c>
      <c r="J365" s="48">
        <f>68*5</f>
        <v>340</v>
      </c>
      <c r="K365" s="48">
        <v>68</v>
      </c>
      <c r="L365" s="48"/>
      <c r="M365" s="49"/>
      <c r="N365" s="49"/>
      <c r="O365" s="49"/>
      <c r="P365" s="49"/>
      <c r="Q365" s="49"/>
      <c r="R365" s="49"/>
      <c r="S365" s="49"/>
      <c r="T365" s="49"/>
      <c r="U365" s="49"/>
      <c r="V365" s="41"/>
      <c r="W365" s="115"/>
      <c r="X365" s="115"/>
      <c r="Y365" s="115">
        <v>3244056</v>
      </c>
      <c r="Z365" s="115"/>
      <c r="AA365" s="115"/>
      <c r="AB365" s="115"/>
      <c r="AC365" s="113">
        <f t="shared" si="8"/>
        <v>3244056</v>
      </c>
      <c r="AD365" s="108"/>
    </row>
    <row r="366" spans="1:30" ht="14.25" thickBot="1" thickTop="1">
      <c r="A366" s="38">
        <v>36053</v>
      </c>
      <c r="B366" s="39" t="s">
        <v>904</v>
      </c>
      <c r="C366" s="40" t="s">
        <v>694</v>
      </c>
      <c r="D366" s="40" t="s">
        <v>821</v>
      </c>
      <c r="E366" s="48"/>
      <c r="F366" s="48"/>
      <c r="G366" s="48"/>
      <c r="H366" s="48">
        <v>19667</v>
      </c>
      <c r="I366" s="48">
        <f>33*5</f>
        <v>165</v>
      </c>
      <c r="J366" s="48">
        <f>33*5</f>
        <v>165</v>
      </c>
      <c r="K366" s="48">
        <v>33</v>
      </c>
      <c r="L366" s="48"/>
      <c r="M366" s="49"/>
      <c r="N366" s="49"/>
      <c r="O366" s="49"/>
      <c r="P366" s="49"/>
      <c r="Q366" s="49"/>
      <c r="R366" s="49"/>
      <c r="S366" s="49"/>
      <c r="T366" s="49"/>
      <c r="U366" s="49"/>
      <c r="V366" s="41"/>
      <c r="W366" s="115"/>
      <c r="X366" s="115">
        <v>759000</v>
      </c>
      <c r="Y366" s="115"/>
      <c r="Z366" s="115"/>
      <c r="AA366" s="115"/>
      <c r="AB366" s="115"/>
      <c r="AC366" s="113">
        <f t="shared" si="8"/>
        <v>759000</v>
      </c>
      <c r="AD366" s="108" t="s">
        <v>695</v>
      </c>
    </row>
    <row r="367" spans="1:30" ht="24" thickBot="1" thickTop="1">
      <c r="A367" s="38">
        <v>36094</v>
      </c>
      <c r="B367" s="39" t="s">
        <v>904</v>
      </c>
      <c r="C367" s="40" t="s">
        <v>353</v>
      </c>
      <c r="D367" s="40" t="s">
        <v>821</v>
      </c>
      <c r="E367" s="48"/>
      <c r="F367" s="48"/>
      <c r="G367" s="48"/>
      <c r="H367" s="48"/>
      <c r="I367" s="48">
        <f>240*5</f>
        <v>1200</v>
      </c>
      <c r="J367" s="48">
        <f>240*5</f>
        <v>1200</v>
      </c>
      <c r="K367" s="48">
        <v>240</v>
      </c>
      <c r="L367" s="48"/>
      <c r="M367" s="49"/>
      <c r="N367" s="49"/>
      <c r="O367" s="49"/>
      <c r="P367" s="49"/>
      <c r="Q367" s="49"/>
      <c r="R367" s="49"/>
      <c r="S367" s="49"/>
      <c r="T367" s="49"/>
      <c r="U367" s="49"/>
      <c r="V367" s="41"/>
      <c r="W367" s="115"/>
      <c r="X367" s="115">
        <v>1426000</v>
      </c>
      <c r="Y367" s="115"/>
      <c r="Z367" s="115"/>
      <c r="AA367" s="115"/>
      <c r="AB367" s="115"/>
      <c r="AC367" s="113">
        <f t="shared" si="8"/>
        <v>1426000</v>
      </c>
      <c r="AD367" s="108" t="s">
        <v>354</v>
      </c>
    </row>
    <row r="368" spans="1:30" ht="14.25" thickBot="1" thickTop="1">
      <c r="A368" s="38">
        <v>36094</v>
      </c>
      <c r="B368" s="39" t="s">
        <v>904</v>
      </c>
      <c r="C368" s="40" t="s">
        <v>351</v>
      </c>
      <c r="D368" s="40" t="s">
        <v>821</v>
      </c>
      <c r="E368" s="48"/>
      <c r="F368" s="48"/>
      <c r="G368" s="48"/>
      <c r="H368" s="48">
        <v>7492</v>
      </c>
      <c r="I368" s="48">
        <f>340*5</f>
        <v>1700</v>
      </c>
      <c r="J368" s="48">
        <f>340*5</f>
        <v>1700</v>
      </c>
      <c r="K368" s="48">
        <v>340</v>
      </c>
      <c r="L368" s="48"/>
      <c r="M368" s="49"/>
      <c r="N368" s="49"/>
      <c r="O368" s="49"/>
      <c r="P368" s="49"/>
      <c r="Q368" s="49"/>
      <c r="R368" s="49"/>
      <c r="S368" s="49"/>
      <c r="T368" s="49"/>
      <c r="U368" s="49"/>
      <c r="V368" s="41"/>
      <c r="W368" s="115"/>
      <c r="X368" s="115">
        <v>2024000</v>
      </c>
      <c r="Y368" s="115"/>
      <c r="Z368" s="115"/>
      <c r="AA368" s="115"/>
      <c r="AB368" s="115"/>
      <c r="AC368" s="113">
        <f t="shared" si="8"/>
        <v>2024000</v>
      </c>
      <c r="AD368" s="108" t="s">
        <v>354</v>
      </c>
    </row>
    <row r="369" spans="1:30" ht="14.25" thickBot="1" thickTop="1">
      <c r="A369" s="38">
        <v>36008</v>
      </c>
      <c r="B369" s="39" t="s">
        <v>904</v>
      </c>
      <c r="C369" s="40" t="s">
        <v>687</v>
      </c>
      <c r="D369" s="40" t="s">
        <v>911</v>
      </c>
      <c r="E369" s="48"/>
      <c r="F369" s="48"/>
      <c r="G369" s="48"/>
      <c r="H369" s="48">
        <v>20677</v>
      </c>
      <c r="I369" s="48">
        <f>12*5</f>
        <v>60</v>
      </c>
      <c r="J369" s="48">
        <f>12*5</f>
        <v>60</v>
      </c>
      <c r="K369" s="48">
        <v>12</v>
      </c>
      <c r="L369" s="48"/>
      <c r="M369" s="49"/>
      <c r="N369" s="49"/>
      <c r="O369" s="49"/>
      <c r="P369" s="49"/>
      <c r="Q369" s="49"/>
      <c r="R369" s="49"/>
      <c r="S369" s="49"/>
      <c r="T369" s="49"/>
      <c r="U369" s="49"/>
      <c r="V369" s="41"/>
      <c r="W369" s="115"/>
      <c r="X369" s="115"/>
      <c r="Y369" s="115">
        <v>944472</v>
      </c>
      <c r="Z369" s="115"/>
      <c r="AA369" s="115"/>
      <c r="AB369" s="115"/>
      <c r="AC369" s="113">
        <f t="shared" si="8"/>
        <v>944472</v>
      </c>
      <c r="AD369" s="108"/>
    </row>
    <row r="370" spans="1:30" ht="24" thickBot="1" thickTop="1">
      <c r="A370" s="38">
        <v>35821</v>
      </c>
      <c r="B370" s="40" t="s">
        <v>904</v>
      </c>
      <c r="C370" s="40" t="s">
        <v>905</v>
      </c>
      <c r="D370" s="40" t="s">
        <v>884</v>
      </c>
      <c r="E370" s="48"/>
      <c r="F370" s="48"/>
      <c r="G370" s="48"/>
      <c r="H370" s="48">
        <v>20677</v>
      </c>
      <c r="I370" s="48"/>
      <c r="J370" s="48"/>
      <c r="K370" s="48"/>
      <c r="L370" s="48"/>
      <c r="M370" s="49"/>
      <c r="N370" s="49"/>
      <c r="O370" s="49"/>
      <c r="P370" s="49"/>
      <c r="Q370" s="49"/>
      <c r="R370" s="49"/>
      <c r="S370" s="49"/>
      <c r="T370" s="49"/>
      <c r="U370" s="49"/>
      <c r="V370" s="41" t="s">
        <v>906</v>
      </c>
      <c r="W370" s="115"/>
      <c r="X370" s="115">
        <v>23000000</v>
      </c>
      <c r="Y370" s="115"/>
      <c r="Z370" s="115"/>
      <c r="AA370" s="115"/>
      <c r="AB370" s="115"/>
      <c r="AC370" s="113">
        <f t="shared" si="8"/>
        <v>23000000</v>
      </c>
      <c r="AD370" s="108"/>
    </row>
    <row r="371" spans="1:30" ht="24" thickBot="1" thickTop="1">
      <c r="A371" s="38">
        <v>35849</v>
      </c>
      <c r="B371" s="39" t="s">
        <v>904</v>
      </c>
      <c r="C371" s="40" t="s">
        <v>905</v>
      </c>
      <c r="D371" s="40" t="s">
        <v>911</v>
      </c>
      <c r="E371" s="48"/>
      <c r="F371" s="48"/>
      <c r="G371" s="48"/>
      <c r="H371" s="48">
        <v>20677</v>
      </c>
      <c r="I371" s="48">
        <v>220</v>
      </c>
      <c r="J371" s="48">
        <v>220</v>
      </c>
      <c r="K371" s="48">
        <v>44</v>
      </c>
      <c r="L371" s="48"/>
      <c r="M371" s="49">
        <v>44</v>
      </c>
      <c r="N371" s="49"/>
      <c r="O371" s="49"/>
      <c r="P371" s="49"/>
      <c r="Q371" s="49"/>
      <c r="R371" s="49"/>
      <c r="S371" s="49"/>
      <c r="T371" s="49"/>
      <c r="U371" s="49"/>
      <c r="V371" s="41"/>
      <c r="W371" s="115"/>
      <c r="X371" s="115"/>
      <c r="Y371" s="115"/>
      <c r="Z371" s="115"/>
      <c r="AA371" s="115"/>
      <c r="AB371" s="115">
        <v>5000000</v>
      </c>
      <c r="AC371" s="113">
        <f t="shared" si="8"/>
        <v>5000000</v>
      </c>
      <c r="AD371" s="108" t="s">
        <v>51</v>
      </c>
    </row>
    <row r="372" spans="1:30" ht="24" thickBot="1" thickTop="1">
      <c r="A372" s="38">
        <v>36008</v>
      </c>
      <c r="B372" s="39" t="s">
        <v>904</v>
      </c>
      <c r="C372" s="40" t="s">
        <v>688</v>
      </c>
      <c r="D372" s="40" t="s">
        <v>911</v>
      </c>
      <c r="E372" s="48"/>
      <c r="F372" s="48"/>
      <c r="G372" s="48"/>
      <c r="H372" s="48">
        <v>10900</v>
      </c>
      <c r="I372" s="48">
        <f>11*5</f>
        <v>55</v>
      </c>
      <c r="J372" s="48">
        <f>11*5</f>
        <v>55</v>
      </c>
      <c r="K372" s="48">
        <v>11</v>
      </c>
      <c r="L372" s="48"/>
      <c r="M372" s="49"/>
      <c r="N372" s="49"/>
      <c r="O372" s="49"/>
      <c r="P372" s="49"/>
      <c r="Q372" s="49"/>
      <c r="R372" s="49"/>
      <c r="S372" s="49"/>
      <c r="T372" s="49"/>
      <c r="U372" s="49"/>
      <c r="V372" s="41"/>
      <c r="W372" s="115"/>
      <c r="X372" s="115"/>
      <c r="Y372" s="115">
        <v>889720</v>
      </c>
      <c r="Z372" s="115"/>
      <c r="AA372" s="115"/>
      <c r="AB372" s="115"/>
      <c r="AC372" s="113">
        <f t="shared" si="8"/>
        <v>889720</v>
      </c>
      <c r="AD372" s="108"/>
    </row>
    <row r="373" spans="1:30" ht="14.25" thickBot="1" thickTop="1">
      <c r="A373" s="38">
        <v>36094</v>
      </c>
      <c r="B373" s="39" t="s">
        <v>904</v>
      </c>
      <c r="C373" s="40" t="s">
        <v>352</v>
      </c>
      <c r="D373" s="40" t="s">
        <v>821</v>
      </c>
      <c r="E373" s="48"/>
      <c r="F373" s="48"/>
      <c r="G373" s="48"/>
      <c r="H373" s="48">
        <v>38741</v>
      </c>
      <c r="I373" s="48">
        <f>200*5</f>
        <v>1000</v>
      </c>
      <c r="J373" s="48">
        <f>200*5</f>
        <v>1000</v>
      </c>
      <c r="K373" s="48">
        <v>200</v>
      </c>
      <c r="L373" s="48"/>
      <c r="M373" s="49"/>
      <c r="N373" s="49"/>
      <c r="O373" s="49"/>
      <c r="P373" s="49"/>
      <c r="Q373" s="49"/>
      <c r="R373" s="49"/>
      <c r="S373" s="49"/>
      <c r="T373" s="49"/>
      <c r="U373" s="49"/>
      <c r="V373" s="41"/>
      <c r="W373" s="115"/>
      <c r="X373" s="115">
        <v>1196000</v>
      </c>
      <c r="Y373" s="115"/>
      <c r="Z373" s="115"/>
      <c r="AA373" s="115"/>
      <c r="AB373" s="115"/>
      <c r="AC373" s="113">
        <f t="shared" si="8"/>
        <v>1196000</v>
      </c>
      <c r="AD373" s="108" t="s">
        <v>354</v>
      </c>
    </row>
    <row r="374" spans="1:30" ht="14.25" thickBot="1" thickTop="1">
      <c r="A374" s="38">
        <v>36008</v>
      </c>
      <c r="B374" s="39" t="s">
        <v>904</v>
      </c>
      <c r="C374" s="40" t="s">
        <v>690</v>
      </c>
      <c r="D374" s="40" t="s">
        <v>911</v>
      </c>
      <c r="E374" s="48"/>
      <c r="F374" s="48"/>
      <c r="G374" s="48"/>
      <c r="H374" s="48">
        <v>38931</v>
      </c>
      <c r="I374" s="48">
        <f>8*5</f>
        <v>40</v>
      </c>
      <c r="J374" s="48">
        <f>8*5</f>
        <v>40</v>
      </c>
      <c r="K374" s="48">
        <v>8</v>
      </c>
      <c r="L374" s="48"/>
      <c r="M374" s="49"/>
      <c r="N374" s="49"/>
      <c r="O374" s="49"/>
      <c r="P374" s="49"/>
      <c r="Q374" s="49"/>
      <c r="R374" s="49"/>
      <c r="S374" s="49"/>
      <c r="T374" s="49"/>
      <c r="U374" s="49"/>
      <c r="V374" s="41"/>
      <c r="W374" s="115"/>
      <c r="X374" s="115"/>
      <c r="Y374" s="115">
        <v>766528</v>
      </c>
      <c r="Z374" s="115"/>
      <c r="AA374" s="115"/>
      <c r="AB374" s="115"/>
      <c r="AC374" s="113">
        <f t="shared" si="8"/>
        <v>766528</v>
      </c>
      <c r="AD374" s="108"/>
    </row>
    <row r="375" spans="1:30" ht="14.25" thickBot="1" thickTop="1">
      <c r="A375" s="38">
        <v>36008</v>
      </c>
      <c r="B375" s="39" t="s">
        <v>904</v>
      </c>
      <c r="C375" s="40" t="s">
        <v>685</v>
      </c>
      <c r="D375" s="40" t="s">
        <v>911</v>
      </c>
      <c r="E375" s="48"/>
      <c r="F375" s="48"/>
      <c r="G375" s="48"/>
      <c r="H375" s="48">
        <v>29540</v>
      </c>
      <c r="I375" s="48">
        <f>32*5</f>
        <v>160</v>
      </c>
      <c r="J375" s="48">
        <f>32*5</f>
        <v>160</v>
      </c>
      <c r="K375" s="48">
        <v>32</v>
      </c>
      <c r="L375" s="48"/>
      <c r="M375" s="49"/>
      <c r="N375" s="49"/>
      <c r="O375" s="49"/>
      <c r="P375" s="49"/>
      <c r="Q375" s="49"/>
      <c r="R375" s="49"/>
      <c r="S375" s="49"/>
      <c r="T375" s="49"/>
      <c r="U375" s="49"/>
      <c r="V375" s="41"/>
      <c r="W375" s="115"/>
      <c r="X375" s="115"/>
      <c r="Y375" s="115">
        <v>1765752</v>
      </c>
      <c r="Z375" s="115"/>
      <c r="AA375" s="115"/>
      <c r="AB375" s="115"/>
      <c r="AC375" s="113">
        <f t="shared" si="8"/>
        <v>1765752</v>
      </c>
      <c r="AD375" s="108"/>
    </row>
    <row r="376" spans="1:30" ht="14.25" thickBot="1" thickTop="1">
      <c r="A376" s="38">
        <v>35940</v>
      </c>
      <c r="B376" s="39" t="s">
        <v>904</v>
      </c>
      <c r="C376" s="40" t="s">
        <v>396</v>
      </c>
      <c r="D376" s="40" t="s">
        <v>821</v>
      </c>
      <c r="E376" s="48"/>
      <c r="F376" s="48"/>
      <c r="G376" s="48"/>
      <c r="H376" s="48">
        <v>174345</v>
      </c>
      <c r="I376" s="48">
        <v>250</v>
      </c>
      <c r="J376" s="48">
        <v>250</v>
      </c>
      <c r="K376" s="48">
        <v>50</v>
      </c>
      <c r="L376" s="48"/>
      <c r="M376" s="49"/>
      <c r="N376" s="49"/>
      <c r="O376" s="49"/>
      <c r="P376" s="49"/>
      <c r="Q376" s="49"/>
      <c r="R376" s="49"/>
      <c r="S376" s="49"/>
      <c r="T376" s="49"/>
      <c r="U376" s="49"/>
      <c r="V376" s="41"/>
      <c r="W376" s="115"/>
      <c r="X376" s="115">
        <v>1150000</v>
      </c>
      <c r="Y376" s="115"/>
      <c r="Z376" s="115"/>
      <c r="AA376" s="115"/>
      <c r="AB376" s="115"/>
      <c r="AC376" s="113">
        <f t="shared" si="8"/>
        <v>1150000</v>
      </c>
      <c r="AD376" s="108" t="s">
        <v>397</v>
      </c>
    </row>
    <row r="377" spans="1:30" ht="26.25" thickBot="1" thickTop="1">
      <c r="A377" s="38">
        <v>35958</v>
      </c>
      <c r="B377" s="39" t="s">
        <v>904</v>
      </c>
      <c r="C377" s="40" t="s">
        <v>396</v>
      </c>
      <c r="D377" s="40" t="s">
        <v>821</v>
      </c>
      <c r="E377" s="48"/>
      <c r="F377" s="48"/>
      <c r="G377" s="48"/>
      <c r="H377" s="48">
        <v>174345</v>
      </c>
      <c r="I377" s="48">
        <v>2085</v>
      </c>
      <c r="J377" s="48">
        <v>2085</v>
      </c>
      <c r="K377" s="48">
        <v>417</v>
      </c>
      <c r="L377" s="48"/>
      <c r="M377" s="49">
        <v>55</v>
      </c>
      <c r="N377" s="49"/>
      <c r="O377" s="49"/>
      <c r="P377" s="49"/>
      <c r="Q377" s="49"/>
      <c r="R377" s="49"/>
      <c r="S377" s="49"/>
      <c r="T377" s="49"/>
      <c r="U377" s="49"/>
      <c r="V377" s="41" t="s">
        <v>478</v>
      </c>
      <c r="W377" s="115"/>
      <c r="X377" s="115"/>
      <c r="Y377" s="115">
        <v>3029734.4</v>
      </c>
      <c r="Z377" s="115"/>
      <c r="AA377" s="115"/>
      <c r="AB377" s="115"/>
      <c r="AC377" s="113">
        <f t="shared" si="8"/>
        <v>3029734.4</v>
      </c>
      <c r="AD377" s="108" t="s">
        <v>479</v>
      </c>
    </row>
    <row r="378" spans="1:30" ht="14.25" thickBot="1" thickTop="1">
      <c r="A378" s="38">
        <v>36008</v>
      </c>
      <c r="B378" s="39" t="s">
        <v>904</v>
      </c>
      <c r="C378" s="40" t="s">
        <v>396</v>
      </c>
      <c r="D378" s="40" t="s">
        <v>911</v>
      </c>
      <c r="E378" s="48"/>
      <c r="F378" s="48"/>
      <c r="G378" s="48"/>
      <c r="H378" s="48">
        <v>174345</v>
      </c>
      <c r="I378" s="48">
        <f>21*5</f>
        <v>105</v>
      </c>
      <c r="J378" s="48">
        <f>21*5</f>
        <v>105</v>
      </c>
      <c r="K378" s="48">
        <v>21</v>
      </c>
      <c r="L378" s="48"/>
      <c r="M378" s="49"/>
      <c r="N378" s="49"/>
      <c r="O378" s="49"/>
      <c r="P378" s="49"/>
      <c r="Q378" s="49"/>
      <c r="R378" s="49"/>
      <c r="S378" s="49"/>
      <c r="T378" s="49"/>
      <c r="U378" s="49"/>
      <c r="V378" s="41"/>
      <c r="W378" s="115"/>
      <c r="X378" s="115"/>
      <c r="Y378" s="115">
        <v>1314048</v>
      </c>
      <c r="Z378" s="115"/>
      <c r="AA378" s="115"/>
      <c r="AB378" s="115"/>
      <c r="AC378" s="113">
        <f t="shared" si="8"/>
        <v>1314048</v>
      </c>
      <c r="AD378" s="108"/>
    </row>
    <row r="379" spans="1:30" ht="14.25" thickBot="1" thickTop="1">
      <c r="A379" s="38">
        <v>35882</v>
      </c>
      <c r="B379" s="39" t="s">
        <v>904</v>
      </c>
      <c r="C379" s="40" t="s">
        <v>904</v>
      </c>
      <c r="D379" s="40" t="s">
        <v>884</v>
      </c>
      <c r="E379" s="48"/>
      <c r="F379" s="48"/>
      <c r="G379" s="48"/>
      <c r="H379" s="48">
        <v>624463</v>
      </c>
      <c r="I379" s="48">
        <v>1260</v>
      </c>
      <c r="J379" s="48">
        <v>0</v>
      </c>
      <c r="K379" s="48">
        <v>316</v>
      </c>
      <c r="L379" s="48"/>
      <c r="M379" s="49"/>
      <c r="N379" s="49"/>
      <c r="O379" s="49"/>
      <c r="P379" s="49"/>
      <c r="Q379" s="49"/>
      <c r="R379" s="49"/>
      <c r="S379" s="49"/>
      <c r="T379" s="49"/>
      <c r="U379" s="49"/>
      <c r="V379" s="41"/>
      <c r="W379" s="115"/>
      <c r="X379" s="115"/>
      <c r="Y379" s="115"/>
      <c r="Z379" s="115"/>
      <c r="AA379" s="115"/>
      <c r="AB379" s="115"/>
      <c r="AC379" s="113">
        <f t="shared" si="8"/>
        <v>0</v>
      </c>
      <c r="AD379" s="108" t="s">
        <v>99</v>
      </c>
    </row>
    <row r="380" spans="1:30" ht="18" thickBot="1" thickTop="1">
      <c r="A380" s="38">
        <v>35865</v>
      </c>
      <c r="B380" s="39" t="s">
        <v>904</v>
      </c>
      <c r="C380" s="40" t="s">
        <v>875</v>
      </c>
      <c r="D380" s="40" t="s">
        <v>884</v>
      </c>
      <c r="E380" s="48"/>
      <c r="F380" s="48"/>
      <c r="G380" s="48"/>
      <c r="H380" s="48"/>
      <c r="I380" s="48"/>
      <c r="J380" s="48"/>
      <c r="K380" s="48"/>
      <c r="L380" s="48"/>
      <c r="M380" s="49"/>
      <c r="N380" s="49"/>
      <c r="O380" s="49"/>
      <c r="P380" s="49"/>
      <c r="Q380" s="49"/>
      <c r="R380" s="49"/>
      <c r="S380" s="49"/>
      <c r="T380" s="49"/>
      <c r="U380" s="49"/>
      <c r="V380" s="41"/>
      <c r="W380" s="115"/>
      <c r="X380" s="115">
        <v>23000000</v>
      </c>
      <c r="Y380" s="115"/>
      <c r="Z380" s="115"/>
      <c r="AA380" s="115"/>
      <c r="AB380" s="115"/>
      <c r="AC380" s="113">
        <f t="shared" si="8"/>
        <v>23000000</v>
      </c>
      <c r="AD380" s="108" t="s">
        <v>98</v>
      </c>
    </row>
    <row r="381" spans="1:30" ht="26.25" thickBot="1" thickTop="1">
      <c r="A381" s="38">
        <v>35927</v>
      </c>
      <c r="B381" s="39" t="s">
        <v>904</v>
      </c>
      <c r="C381" s="40" t="s">
        <v>875</v>
      </c>
      <c r="D381" s="40" t="s">
        <v>821</v>
      </c>
      <c r="E381" s="48"/>
      <c r="F381" s="48"/>
      <c r="G381" s="48"/>
      <c r="H381" s="48"/>
      <c r="I381" s="48">
        <v>465</v>
      </c>
      <c r="J381" s="48">
        <v>465</v>
      </c>
      <c r="K381" s="48">
        <v>93</v>
      </c>
      <c r="L381" s="48"/>
      <c r="M381" s="49">
        <v>12</v>
      </c>
      <c r="N381" s="49"/>
      <c r="O381" s="49"/>
      <c r="P381" s="49"/>
      <c r="Q381" s="49"/>
      <c r="R381" s="49"/>
      <c r="S381" s="49"/>
      <c r="T381" s="49"/>
      <c r="U381" s="49"/>
      <c r="V381" s="41"/>
      <c r="W381" s="115"/>
      <c r="X381" s="115">
        <v>2139000</v>
      </c>
      <c r="Y381" s="115"/>
      <c r="Z381" s="115">
        <v>4408000</v>
      </c>
      <c r="AA381" s="115"/>
      <c r="AB381" s="115"/>
      <c r="AC381" s="113">
        <f t="shared" si="8"/>
        <v>6547000</v>
      </c>
      <c r="AD381" s="108" t="s">
        <v>395</v>
      </c>
    </row>
    <row r="382" spans="1:30" ht="14.25" thickBot="1" thickTop="1">
      <c r="A382" s="38">
        <v>35958</v>
      </c>
      <c r="B382" s="39" t="s">
        <v>904</v>
      </c>
      <c r="C382" s="40" t="s">
        <v>875</v>
      </c>
      <c r="D382" s="40" t="s">
        <v>821</v>
      </c>
      <c r="E382" s="48"/>
      <c r="F382" s="48"/>
      <c r="G382" s="48"/>
      <c r="H382" s="48"/>
      <c r="I382" s="48"/>
      <c r="J382" s="48"/>
      <c r="K382" s="48"/>
      <c r="L382" s="48"/>
      <c r="M382" s="49"/>
      <c r="N382" s="49"/>
      <c r="O382" s="49"/>
      <c r="P382" s="49"/>
      <c r="Q382" s="49"/>
      <c r="R382" s="49"/>
      <c r="S382" s="49"/>
      <c r="T382" s="49"/>
      <c r="U382" s="49"/>
      <c r="V382" s="41"/>
      <c r="W382" s="115">
        <v>9075090.03</v>
      </c>
      <c r="X382" s="115">
        <v>4600000</v>
      </c>
      <c r="Y382" s="115"/>
      <c r="Z382" s="115"/>
      <c r="AA382" s="115"/>
      <c r="AB382" s="115"/>
      <c r="AC382" s="113">
        <f t="shared" si="8"/>
        <v>13675090.03</v>
      </c>
      <c r="AD382" s="108" t="s">
        <v>480</v>
      </c>
    </row>
    <row r="383" spans="1:30" ht="26.25" thickBot="1" thickTop="1">
      <c r="A383" s="38">
        <v>35990</v>
      </c>
      <c r="B383" s="39" t="s">
        <v>904</v>
      </c>
      <c r="C383" s="40" t="s">
        <v>875</v>
      </c>
      <c r="D383" s="40" t="s">
        <v>821</v>
      </c>
      <c r="E383" s="48"/>
      <c r="F383" s="48"/>
      <c r="G383" s="48"/>
      <c r="H383" s="48"/>
      <c r="I383" s="48">
        <v>4650</v>
      </c>
      <c r="J383" s="48">
        <v>4650</v>
      </c>
      <c r="K383" s="48">
        <v>825</v>
      </c>
      <c r="L383" s="48"/>
      <c r="M383" s="49"/>
      <c r="N383" s="49"/>
      <c r="O383" s="49"/>
      <c r="P383" s="49"/>
      <c r="Q383" s="49"/>
      <c r="R383" s="49"/>
      <c r="S383" s="49"/>
      <c r="T383" s="49"/>
      <c r="U383" s="49"/>
      <c r="V383" s="41" t="s">
        <v>571</v>
      </c>
      <c r="W383" s="115">
        <v>14512386</v>
      </c>
      <c r="X383" s="115">
        <v>6900000</v>
      </c>
      <c r="Y383" s="115"/>
      <c r="Z383" s="115">
        <v>2204000</v>
      </c>
      <c r="AA383" s="115"/>
      <c r="AB383" s="115"/>
      <c r="AC383" s="113">
        <f t="shared" si="8"/>
        <v>23616386</v>
      </c>
      <c r="AD383" s="108" t="s">
        <v>572</v>
      </c>
    </row>
    <row r="384" spans="1:30" ht="26.25" thickBot="1" thickTop="1">
      <c r="A384" s="38">
        <v>36069</v>
      </c>
      <c r="B384" s="39" t="s">
        <v>904</v>
      </c>
      <c r="C384" s="40" t="s">
        <v>875</v>
      </c>
      <c r="D384" s="40" t="s">
        <v>821</v>
      </c>
      <c r="E384" s="48"/>
      <c r="F384" s="48"/>
      <c r="G384" s="48"/>
      <c r="H384" s="48"/>
      <c r="I384" s="48">
        <v>4375</v>
      </c>
      <c r="J384" s="48">
        <v>4375</v>
      </c>
      <c r="K384" s="48">
        <v>875</v>
      </c>
      <c r="L384" s="48"/>
      <c r="M384" s="49"/>
      <c r="N384" s="49"/>
      <c r="O384" s="49"/>
      <c r="P384" s="49"/>
      <c r="Q384" s="49"/>
      <c r="R384" s="49"/>
      <c r="S384" s="49"/>
      <c r="T384" s="49"/>
      <c r="U384" s="49"/>
      <c r="V384" s="41" t="s">
        <v>740</v>
      </c>
      <c r="W384" s="115"/>
      <c r="X384" s="115">
        <v>10350000</v>
      </c>
      <c r="Y384" s="115"/>
      <c r="Z384" s="115"/>
      <c r="AA384" s="115"/>
      <c r="AB384" s="115"/>
      <c r="AC384" s="113">
        <f t="shared" si="8"/>
        <v>10350000</v>
      </c>
      <c r="AD384" s="108" t="s">
        <v>741</v>
      </c>
    </row>
    <row r="385" spans="1:30" ht="14.25" thickBot="1" thickTop="1">
      <c r="A385" s="38">
        <v>36070</v>
      </c>
      <c r="B385" s="39" t="s">
        <v>904</v>
      </c>
      <c r="C385" s="40" t="s">
        <v>875</v>
      </c>
      <c r="D385" s="40" t="s">
        <v>911</v>
      </c>
      <c r="E385" s="48"/>
      <c r="F385" s="48"/>
      <c r="G385" s="48"/>
      <c r="H385" s="48"/>
      <c r="I385" s="48">
        <f>67*5</f>
        <v>335</v>
      </c>
      <c r="J385" s="48">
        <f>67*5</f>
        <v>335</v>
      </c>
      <c r="K385" s="48">
        <v>67</v>
      </c>
      <c r="L385" s="48"/>
      <c r="M385" s="49">
        <v>69</v>
      </c>
      <c r="N385" s="49"/>
      <c r="O385" s="49"/>
      <c r="P385" s="49"/>
      <c r="Q385" s="49"/>
      <c r="R385" s="49"/>
      <c r="S385" s="49"/>
      <c r="T385" s="49"/>
      <c r="U385" s="49"/>
      <c r="V385" s="41"/>
      <c r="W385" s="115"/>
      <c r="X385" s="115"/>
      <c r="Y385" s="115"/>
      <c r="Z385" s="115"/>
      <c r="AA385" s="115"/>
      <c r="AB385" s="115">
        <v>5000000</v>
      </c>
      <c r="AC385" s="113">
        <f t="shared" si="8"/>
        <v>5000000</v>
      </c>
      <c r="AD385" s="108" t="s">
        <v>610</v>
      </c>
    </row>
    <row r="386" spans="1:30" ht="59.25" thickBot="1" thickTop="1">
      <c r="A386" s="38">
        <v>36139</v>
      </c>
      <c r="B386" s="39" t="s">
        <v>904</v>
      </c>
      <c r="C386" s="40" t="s">
        <v>875</v>
      </c>
      <c r="D386" s="40" t="s">
        <v>821</v>
      </c>
      <c r="E386" s="48"/>
      <c r="F386" s="48"/>
      <c r="G386" s="48"/>
      <c r="H386" s="48"/>
      <c r="I386" s="48">
        <f>4839*5</f>
        <v>24195</v>
      </c>
      <c r="J386" s="48">
        <f>4839*5</f>
        <v>24195</v>
      </c>
      <c r="K386" s="48">
        <f>693+205+720+310+756+280+320+630+310+615</f>
        <v>4839</v>
      </c>
      <c r="L386" s="48"/>
      <c r="M386" s="49"/>
      <c r="N386" s="49"/>
      <c r="O386" s="49"/>
      <c r="P386" s="49"/>
      <c r="Q386" s="49"/>
      <c r="R386" s="49"/>
      <c r="S386" s="49"/>
      <c r="T386" s="49"/>
      <c r="U386" s="49"/>
      <c r="V386" s="41"/>
      <c r="W386" s="115">
        <v>17962840</v>
      </c>
      <c r="X386" s="115">
        <v>31098000</v>
      </c>
      <c r="Y386" s="115">
        <v>6843999.999999999</v>
      </c>
      <c r="Z386" s="115">
        <v>5730400</v>
      </c>
      <c r="AA386" s="115"/>
      <c r="AB386" s="115"/>
      <c r="AC386" s="113">
        <f t="shared" si="8"/>
        <v>61635240</v>
      </c>
      <c r="AD386" s="108" t="s">
        <v>111</v>
      </c>
    </row>
    <row r="387" spans="1:30" ht="14.25" thickBot="1" thickTop="1">
      <c r="A387" s="38">
        <v>36129</v>
      </c>
      <c r="B387" s="39" t="s">
        <v>100</v>
      </c>
      <c r="C387" s="40" t="s">
        <v>190</v>
      </c>
      <c r="D387" s="40" t="s">
        <v>821</v>
      </c>
      <c r="E387" s="48"/>
      <c r="F387" s="48"/>
      <c r="G387" s="48"/>
      <c r="H387" s="48">
        <v>7277</v>
      </c>
      <c r="I387" s="48">
        <v>95</v>
      </c>
      <c r="J387" s="48">
        <v>95</v>
      </c>
      <c r="K387" s="48">
        <v>15</v>
      </c>
      <c r="L387" s="48">
        <v>2</v>
      </c>
      <c r="M387" s="49">
        <v>14</v>
      </c>
      <c r="N387" s="49"/>
      <c r="O387" s="49"/>
      <c r="P387" s="49"/>
      <c r="Q387" s="49"/>
      <c r="R387" s="49"/>
      <c r="S387" s="49"/>
      <c r="T387" s="49"/>
      <c r="U387" s="49"/>
      <c r="V387" s="41"/>
      <c r="W387" s="115"/>
      <c r="X387" s="115"/>
      <c r="Y387" s="115">
        <v>307458</v>
      </c>
      <c r="Z387" s="115"/>
      <c r="AA387" s="115"/>
      <c r="AB387" s="115"/>
      <c r="AC387" s="113">
        <f t="shared" si="8"/>
        <v>307458</v>
      </c>
      <c r="AD387" s="108"/>
    </row>
    <row r="388" spans="1:30" ht="18" thickBot="1" thickTop="1">
      <c r="A388" s="38">
        <v>35944</v>
      </c>
      <c r="B388" s="39" t="s">
        <v>100</v>
      </c>
      <c r="C388" s="40" t="s">
        <v>403</v>
      </c>
      <c r="D388" s="40" t="s">
        <v>821</v>
      </c>
      <c r="E388" s="48"/>
      <c r="F388" s="48"/>
      <c r="G388" s="48"/>
      <c r="H388" s="48">
        <v>18701</v>
      </c>
      <c r="I388" s="48">
        <v>26</v>
      </c>
      <c r="J388" s="48">
        <v>0</v>
      </c>
      <c r="K388" s="48">
        <v>5</v>
      </c>
      <c r="L388" s="48"/>
      <c r="M388" s="49">
        <v>5</v>
      </c>
      <c r="N388" s="49">
        <v>1</v>
      </c>
      <c r="O388" s="49"/>
      <c r="P388" s="49"/>
      <c r="Q388" s="49"/>
      <c r="R388" s="49"/>
      <c r="S388" s="49"/>
      <c r="T388" s="49"/>
      <c r="U388" s="49"/>
      <c r="V388" s="41"/>
      <c r="W388" s="115"/>
      <c r="X388" s="115"/>
      <c r="Y388" s="115"/>
      <c r="Z388" s="115"/>
      <c r="AA388" s="115"/>
      <c r="AB388" s="115"/>
      <c r="AC388" s="113">
        <f t="shared" si="8"/>
        <v>0</v>
      </c>
      <c r="AD388" s="108" t="s">
        <v>409</v>
      </c>
    </row>
    <row r="389" spans="1:30" ht="14.25" thickBot="1" thickTop="1">
      <c r="A389" s="38">
        <v>35984</v>
      </c>
      <c r="B389" s="39" t="s">
        <v>100</v>
      </c>
      <c r="C389" s="40" t="s">
        <v>403</v>
      </c>
      <c r="D389" s="40" t="s">
        <v>891</v>
      </c>
      <c r="E389" s="48"/>
      <c r="F389" s="48"/>
      <c r="G389" s="48"/>
      <c r="H389" s="48">
        <v>18701</v>
      </c>
      <c r="I389" s="48">
        <v>140</v>
      </c>
      <c r="J389" s="48">
        <v>0</v>
      </c>
      <c r="K389" s="48">
        <v>28</v>
      </c>
      <c r="L389" s="48">
        <v>8</v>
      </c>
      <c r="M389" s="49"/>
      <c r="N389" s="49"/>
      <c r="O389" s="49"/>
      <c r="P389" s="49"/>
      <c r="Q389" s="49">
        <v>1</v>
      </c>
      <c r="R389" s="49"/>
      <c r="S389" s="49"/>
      <c r="T389" s="49"/>
      <c r="U389" s="49"/>
      <c r="V389" s="41"/>
      <c r="W389" s="115"/>
      <c r="X389" s="115"/>
      <c r="Y389" s="115"/>
      <c r="Z389" s="115"/>
      <c r="AA389" s="115"/>
      <c r="AB389" s="115"/>
      <c r="AC389" s="113">
        <f t="shared" si="8"/>
        <v>0</v>
      </c>
      <c r="AD389" s="108" t="s">
        <v>573</v>
      </c>
    </row>
    <row r="390" spans="1:30" ht="14.25" thickBot="1" thickTop="1">
      <c r="A390" s="38">
        <v>36129</v>
      </c>
      <c r="B390" s="39" t="s">
        <v>100</v>
      </c>
      <c r="C390" s="40" t="s">
        <v>189</v>
      </c>
      <c r="D390" s="40" t="s">
        <v>875</v>
      </c>
      <c r="E390" s="48"/>
      <c r="F390" s="48"/>
      <c r="G390" s="48"/>
      <c r="H390" s="48">
        <v>40880</v>
      </c>
      <c r="I390" s="48">
        <f>15+13+75+32+14+11+13+32+96+90+11+145+28+13+24+43+19+23+11+34+60+13+16+13+10+37+14+26+11+13+15+16+42+78+36+26+25+13+11+9+15+8+10+28+25+13+17+13+15+15+13+11+13+43+13+15+13+16+16+12+15+21+17+11+9+16+13+35</f>
        <v>1687</v>
      </c>
      <c r="J390" s="48">
        <f>15+13+75+32+14+11+13+32+96+90+11+145+28+13+24+43+19+23+11+34+60+13+16+13+10+37+14+26+11+13+15+16+42+78+36+26+25+13+11+9+15+8+10+28+25+13+17+13+15+15+13+11+13+43+13+15+13+16+16+12+15+21+17+11+9+16+13+35</f>
        <v>1687</v>
      </c>
      <c r="K390" s="48">
        <f>2+2+10+4+2+2+2+4+15+10+2+22+4+3+3+6+4+4+2+4+8+2+2+2+2+5+2+6+2+2+2+2+7+20+8+4+6+6+3+6+8+6+6+22+4</f>
        <v>250</v>
      </c>
      <c r="L390" s="48">
        <v>49</v>
      </c>
      <c r="M390" s="49">
        <f>2+2+3+3+13+9+2+19+2+3+5+4+4+2+3+6+2+2+3+4+2+5+4+4+7+18+8+9+9+5+2+3+4+5+5+3+3</f>
        <v>189</v>
      </c>
      <c r="N390" s="49"/>
      <c r="O390" s="49"/>
      <c r="P390" s="49"/>
      <c r="Q390" s="49">
        <f>14+9+6+12+4+23</f>
        <v>68</v>
      </c>
      <c r="R390" s="49"/>
      <c r="S390" s="49"/>
      <c r="T390" s="49"/>
      <c r="U390" s="49"/>
      <c r="V390" s="41"/>
      <c r="W390" s="115"/>
      <c r="X390" s="115"/>
      <c r="Y390" s="115">
        <v>6074003.6</v>
      </c>
      <c r="Z390" s="115"/>
      <c r="AA390" s="115"/>
      <c r="AB390" s="115"/>
      <c r="AC390" s="113">
        <f t="shared" si="8"/>
        <v>6074003.6</v>
      </c>
      <c r="AD390" s="108"/>
    </row>
    <row r="391" spans="1:30" ht="18" thickBot="1" thickTop="1">
      <c r="A391" s="38">
        <v>36108</v>
      </c>
      <c r="B391" s="39" t="s">
        <v>100</v>
      </c>
      <c r="C391" s="40" t="s">
        <v>189</v>
      </c>
      <c r="D391" s="40" t="s">
        <v>821</v>
      </c>
      <c r="E391" s="48"/>
      <c r="F391" s="48"/>
      <c r="G391" s="48">
        <f>16+19</f>
        <v>35</v>
      </c>
      <c r="H391" s="48">
        <v>40880</v>
      </c>
      <c r="I391" s="48">
        <f>720+570</f>
        <v>1290</v>
      </c>
      <c r="J391" s="48">
        <f>720+570</f>
        <v>1290</v>
      </c>
      <c r="K391" s="48">
        <f>138+170</f>
        <v>308</v>
      </c>
      <c r="L391" s="48">
        <f>24+32</f>
        <v>56</v>
      </c>
      <c r="M391" s="49">
        <f>63+67</f>
        <v>130</v>
      </c>
      <c r="N391" s="49">
        <v>2</v>
      </c>
      <c r="O391" s="49">
        <v>1</v>
      </c>
      <c r="P391" s="49">
        <v>2</v>
      </c>
      <c r="Q391" s="49">
        <v>3</v>
      </c>
      <c r="R391" s="49">
        <v>4</v>
      </c>
      <c r="S391" s="49">
        <v>2</v>
      </c>
      <c r="T391" s="49"/>
      <c r="U391" s="49"/>
      <c r="V391" s="41" t="s">
        <v>94</v>
      </c>
      <c r="W391" s="115">
        <v>14670600</v>
      </c>
      <c r="X391" s="115">
        <v>2695160</v>
      </c>
      <c r="Y391" s="115"/>
      <c r="Z391" s="115"/>
      <c r="AA391" s="115"/>
      <c r="AB391" s="115"/>
      <c r="AC391" s="113">
        <f t="shared" si="8"/>
        <v>17365760</v>
      </c>
      <c r="AD391" s="108" t="s">
        <v>381</v>
      </c>
    </row>
    <row r="392" spans="1:30" ht="14.25" thickBot="1" thickTop="1">
      <c r="A392" s="38">
        <v>35958</v>
      </c>
      <c r="B392" s="39" t="s">
        <v>100</v>
      </c>
      <c r="C392" s="40" t="s">
        <v>483</v>
      </c>
      <c r="D392" s="40" t="s">
        <v>821</v>
      </c>
      <c r="E392" s="48"/>
      <c r="F392" s="48"/>
      <c r="G392" s="48"/>
      <c r="H392" s="48">
        <v>6984</v>
      </c>
      <c r="I392" s="48">
        <v>310</v>
      </c>
      <c r="J392" s="48">
        <v>310</v>
      </c>
      <c r="K392" s="48">
        <v>62</v>
      </c>
      <c r="L392" s="48"/>
      <c r="M392" s="49"/>
      <c r="N392" s="49"/>
      <c r="O392" s="49"/>
      <c r="P392" s="49"/>
      <c r="Q392" s="49"/>
      <c r="R392" s="49"/>
      <c r="S392" s="49"/>
      <c r="T392" s="49"/>
      <c r="U392" s="49"/>
      <c r="V392" s="41"/>
      <c r="W392" s="115">
        <v>9936836.72</v>
      </c>
      <c r="X392" s="115">
        <v>1426000</v>
      </c>
      <c r="Y392" s="115">
        <v>1707668.48</v>
      </c>
      <c r="Z392" s="115"/>
      <c r="AA392" s="115"/>
      <c r="AB392" s="115"/>
      <c r="AC392" s="113">
        <f t="shared" si="8"/>
        <v>13070505.200000001</v>
      </c>
      <c r="AD392" s="108" t="s">
        <v>484</v>
      </c>
    </row>
    <row r="393" spans="1:30" ht="14.25" thickBot="1" thickTop="1">
      <c r="A393" s="38">
        <v>35958</v>
      </c>
      <c r="B393" s="39" t="s">
        <v>100</v>
      </c>
      <c r="C393" s="40" t="s">
        <v>481</v>
      </c>
      <c r="D393" s="40" t="s">
        <v>821</v>
      </c>
      <c r="E393" s="48"/>
      <c r="F393" s="48"/>
      <c r="G393" s="48"/>
      <c r="H393" s="48">
        <v>63859</v>
      </c>
      <c r="I393" s="48">
        <v>1875</v>
      </c>
      <c r="J393" s="48">
        <v>1875</v>
      </c>
      <c r="K393" s="48">
        <v>375</v>
      </c>
      <c r="L393" s="48"/>
      <c r="M393" s="49"/>
      <c r="N393" s="49"/>
      <c r="O393" s="49"/>
      <c r="P393" s="49"/>
      <c r="Q393" s="49"/>
      <c r="R393" s="49"/>
      <c r="S393" s="49"/>
      <c r="T393" s="49"/>
      <c r="U393" s="49"/>
      <c r="V393" s="41"/>
      <c r="W393" s="115">
        <v>30050917.5</v>
      </c>
      <c r="X393" s="115">
        <v>8740000</v>
      </c>
      <c r="Y393" s="115">
        <v>10328640</v>
      </c>
      <c r="Z393" s="115"/>
      <c r="AA393" s="115"/>
      <c r="AB393" s="115"/>
      <c r="AC393" s="113">
        <f t="shared" si="8"/>
        <v>49119557.5</v>
      </c>
      <c r="AD393" s="108"/>
    </row>
    <row r="394" spans="1:30" ht="14.25" thickBot="1" thickTop="1">
      <c r="A394" s="38">
        <v>35958</v>
      </c>
      <c r="B394" s="39" t="s">
        <v>100</v>
      </c>
      <c r="C394" s="40" t="s">
        <v>481</v>
      </c>
      <c r="D394" s="40" t="s">
        <v>821</v>
      </c>
      <c r="E394" s="48"/>
      <c r="F394" s="48"/>
      <c r="G394" s="48"/>
      <c r="H394" s="48">
        <v>63859</v>
      </c>
      <c r="I394" s="48">
        <v>370</v>
      </c>
      <c r="J394" s="48">
        <v>370</v>
      </c>
      <c r="K394" s="48">
        <v>66</v>
      </c>
      <c r="L394" s="48"/>
      <c r="M394" s="49"/>
      <c r="N394" s="49"/>
      <c r="O394" s="49"/>
      <c r="P394" s="49"/>
      <c r="Q394" s="49"/>
      <c r="R394" s="49"/>
      <c r="S394" s="49"/>
      <c r="T394" s="49"/>
      <c r="U394" s="49"/>
      <c r="V394" s="41"/>
      <c r="W394" s="115">
        <v>5288961.48</v>
      </c>
      <c r="X394" s="115">
        <v>1449000</v>
      </c>
      <c r="Y394" s="115">
        <v>1817840.64</v>
      </c>
      <c r="Z394" s="115"/>
      <c r="AA394" s="115"/>
      <c r="AB394" s="115"/>
      <c r="AC394" s="113">
        <f t="shared" si="8"/>
        <v>8555802.120000001</v>
      </c>
      <c r="AD394" s="108" t="s">
        <v>482</v>
      </c>
    </row>
    <row r="395" spans="1:30" ht="18" thickBot="1" thickTop="1">
      <c r="A395" s="38">
        <v>35944</v>
      </c>
      <c r="B395" s="39" t="s">
        <v>100</v>
      </c>
      <c r="C395" s="40" t="s">
        <v>398</v>
      </c>
      <c r="D395" s="40" t="s">
        <v>821</v>
      </c>
      <c r="E395" s="48"/>
      <c r="F395" s="48"/>
      <c r="G395" s="48"/>
      <c r="H395" s="48">
        <v>32416</v>
      </c>
      <c r="I395" s="48">
        <v>1725</v>
      </c>
      <c r="J395" s="48">
        <v>1725</v>
      </c>
      <c r="K395" s="48">
        <v>345</v>
      </c>
      <c r="L395" s="48">
        <v>10</v>
      </c>
      <c r="M395" s="49"/>
      <c r="N395" s="49"/>
      <c r="O395" s="49">
        <v>1</v>
      </c>
      <c r="P395" s="49"/>
      <c r="Q395" s="49"/>
      <c r="R395" s="49"/>
      <c r="S395" s="49"/>
      <c r="T395" s="49"/>
      <c r="U395" s="49"/>
      <c r="V395" s="41" t="s">
        <v>400</v>
      </c>
      <c r="W395" s="115">
        <v>26539877.1</v>
      </c>
      <c r="X395" s="115">
        <v>8050000</v>
      </c>
      <c r="Y395" s="115">
        <v>10328640</v>
      </c>
      <c r="Z395" s="115"/>
      <c r="AA395" s="115"/>
      <c r="AB395" s="115"/>
      <c r="AC395" s="113">
        <f t="shared" si="8"/>
        <v>44918517.1</v>
      </c>
      <c r="AD395" s="108" t="s">
        <v>399</v>
      </c>
    </row>
    <row r="396" spans="1:31" ht="18" thickBot="1" thickTop="1">
      <c r="A396" s="38">
        <v>36111</v>
      </c>
      <c r="B396" s="39" t="s">
        <v>100</v>
      </c>
      <c r="C396" s="40" t="s">
        <v>410</v>
      </c>
      <c r="D396" s="40" t="s">
        <v>891</v>
      </c>
      <c r="E396" s="48"/>
      <c r="F396" s="48"/>
      <c r="G396" s="48">
        <v>1</v>
      </c>
      <c r="H396" s="48">
        <v>365136</v>
      </c>
      <c r="I396" s="48">
        <f>37+9+11+13</f>
        <v>70</v>
      </c>
      <c r="J396" s="48">
        <f>37+9+11+13</f>
        <v>70</v>
      </c>
      <c r="K396" s="48">
        <f>7+2+2+3</f>
        <v>14</v>
      </c>
      <c r="L396" s="48">
        <f>1+1+2+1</f>
        <v>5</v>
      </c>
      <c r="M396" s="49">
        <f>1+1</f>
        <v>2</v>
      </c>
      <c r="N396" s="49"/>
      <c r="O396" s="49"/>
      <c r="P396" s="49"/>
      <c r="Q396" s="49"/>
      <c r="R396" s="49"/>
      <c r="S396" s="49"/>
      <c r="T396" s="49"/>
      <c r="U396" s="49"/>
      <c r="V396" s="41"/>
      <c r="W396" s="115">
        <v>3131577.86</v>
      </c>
      <c r="X396" s="115">
        <v>322000</v>
      </c>
      <c r="Y396" s="115"/>
      <c r="Z396" s="115"/>
      <c r="AA396" s="115"/>
      <c r="AB396" s="115"/>
      <c r="AC396" s="113">
        <f t="shared" si="8"/>
        <v>3453577.86</v>
      </c>
      <c r="AD396" s="108" t="s">
        <v>72</v>
      </c>
      <c r="AE396" s="4" t="s">
        <v>594</v>
      </c>
    </row>
    <row r="397" spans="1:30" ht="14.25" thickBot="1" thickTop="1">
      <c r="A397" s="38">
        <v>36129</v>
      </c>
      <c r="B397" s="39" t="s">
        <v>100</v>
      </c>
      <c r="C397" s="40" t="s">
        <v>410</v>
      </c>
      <c r="D397" s="40" t="s">
        <v>911</v>
      </c>
      <c r="E397" s="48"/>
      <c r="F397" s="48"/>
      <c r="G397" s="48"/>
      <c r="H397" s="48">
        <v>365136</v>
      </c>
      <c r="I397" s="48">
        <v>25</v>
      </c>
      <c r="J397" s="48">
        <v>25</v>
      </c>
      <c r="K397" s="48">
        <v>5</v>
      </c>
      <c r="L397" s="48"/>
      <c r="M397" s="49">
        <v>6</v>
      </c>
      <c r="N397" s="49"/>
      <c r="O397" s="49"/>
      <c r="P397" s="49"/>
      <c r="Q397" s="49"/>
      <c r="R397" s="49"/>
      <c r="S397" s="49"/>
      <c r="T397" s="49"/>
      <c r="U397" s="49"/>
      <c r="V397" s="41"/>
      <c r="W397" s="115"/>
      <c r="X397" s="115"/>
      <c r="Y397" s="115">
        <v>102486</v>
      </c>
      <c r="Z397" s="115"/>
      <c r="AA397" s="115"/>
      <c r="AB397" s="115"/>
      <c r="AC397" s="113">
        <f t="shared" si="8"/>
        <v>102486</v>
      </c>
      <c r="AD397" s="108"/>
    </row>
    <row r="398" spans="1:30" ht="42.75" thickBot="1" thickTop="1">
      <c r="A398" s="38">
        <v>36141</v>
      </c>
      <c r="B398" s="39" t="s">
        <v>100</v>
      </c>
      <c r="C398" s="40" t="s">
        <v>410</v>
      </c>
      <c r="D398" s="40" t="s">
        <v>821</v>
      </c>
      <c r="E398" s="48"/>
      <c r="F398" s="48"/>
      <c r="G398" s="48"/>
      <c r="H398" s="48">
        <v>365136</v>
      </c>
      <c r="I398" s="48">
        <f>37*5</f>
        <v>185</v>
      </c>
      <c r="J398" s="48">
        <v>0</v>
      </c>
      <c r="K398" s="48">
        <v>37</v>
      </c>
      <c r="L398" s="48"/>
      <c r="M398" s="49"/>
      <c r="N398" s="49"/>
      <c r="O398" s="49"/>
      <c r="P398" s="49"/>
      <c r="Q398" s="49"/>
      <c r="R398" s="49"/>
      <c r="S398" s="49"/>
      <c r="T398" s="49"/>
      <c r="U398" s="49"/>
      <c r="V398" s="41"/>
      <c r="W398" s="115"/>
      <c r="X398" s="115"/>
      <c r="Y398" s="115"/>
      <c r="Z398" s="115"/>
      <c r="AA398" s="115"/>
      <c r="AB398" s="115"/>
      <c r="AC398" s="113">
        <f t="shared" si="8"/>
        <v>0</v>
      </c>
      <c r="AD398" s="108" t="s">
        <v>139</v>
      </c>
    </row>
    <row r="399" spans="1:30" ht="18" thickBot="1" thickTop="1">
      <c r="A399" s="38">
        <v>36109</v>
      </c>
      <c r="B399" s="39" t="s">
        <v>100</v>
      </c>
      <c r="C399" s="40" t="s">
        <v>73</v>
      </c>
      <c r="D399" s="40" t="s">
        <v>891</v>
      </c>
      <c r="E399" s="48"/>
      <c r="F399" s="48"/>
      <c r="G399" s="48"/>
      <c r="H399" s="48">
        <v>10503</v>
      </c>
      <c r="I399" s="48">
        <f>11*5</f>
        <v>55</v>
      </c>
      <c r="J399" s="48">
        <v>0</v>
      </c>
      <c r="K399" s="48">
        <v>11</v>
      </c>
      <c r="L399" s="48"/>
      <c r="M399" s="49"/>
      <c r="N399" s="49"/>
      <c r="O399" s="49"/>
      <c r="P399" s="49"/>
      <c r="Q399" s="49"/>
      <c r="R399" s="49"/>
      <c r="S399" s="49"/>
      <c r="T399" s="49"/>
      <c r="U399" s="49"/>
      <c r="V399" s="41"/>
      <c r="W399" s="115"/>
      <c r="X399" s="115"/>
      <c r="Y399" s="115"/>
      <c r="Z399" s="115"/>
      <c r="AA399" s="115"/>
      <c r="AB399" s="115"/>
      <c r="AC399" s="113">
        <f t="shared" si="8"/>
        <v>0</v>
      </c>
      <c r="AD399" s="108" t="s">
        <v>74</v>
      </c>
    </row>
    <row r="400" spans="1:30" ht="26.25" thickBot="1" thickTop="1">
      <c r="A400" s="38">
        <v>35877</v>
      </c>
      <c r="B400" s="39" t="s">
        <v>100</v>
      </c>
      <c r="C400" s="40" t="s">
        <v>101</v>
      </c>
      <c r="D400" s="40" t="s">
        <v>911</v>
      </c>
      <c r="E400" s="48"/>
      <c r="F400" s="48"/>
      <c r="G400" s="48"/>
      <c r="H400" s="48">
        <v>39785</v>
      </c>
      <c r="I400" s="48">
        <v>85</v>
      </c>
      <c r="J400" s="48">
        <v>0</v>
      </c>
      <c r="K400" s="48">
        <v>20</v>
      </c>
      <c r="L400" s="48">
        <v>7</v>
      </c>
      <c r="M400" s="49">
        <v>13</v>
      </c>
      <c r="N400" s="49"/>
      <c r="O400" s="49"/>
      <c r="P400" s="49"/>
      <c r="Q400" s="49"/>
      <c r="R400" s="49"/>
      <c r="S400" s="49"/>
      <c r="T400" s="49">
        <v>1</v>
      </c>
      <c r="U400" s="49"/>
      <c r="V400" s="41"/>
      <c r="W400" s="115"/>
      <c r="X400" s="115"/>
      <c r="Y400" s="115"/>
      <c r="Z400" s="115"/>
      <c r="AA400" s="115"/>
      <c r="AB400" s="115"/>
      <c r="AC400" s="113">
        <f t="shared" si="8"/>
        <v>0</v>
      </c>
      <c r="AD400" s="108" t="s">
        <v>102</v>
      </c>
    </row>
    <row r="401" spans="1:30" ht="14.25" thickBot="1" thickTop="1">
      <c r="A401" s="38">
        <v>35901</v>
      </c>
      <c r="B401" s="39" t="s">
        <v>100</v>
      </c>
      <c r="C401" s="40" t="s">
        <v>101</v>
      </c>
      <c r="D401" s="40" t="s">
        <v>911</v>
      </c>
      <c r="E401" s="48"/>
      <c r="F401" s="48"/>
      <c r="G401" s="48"/>
      <c r="H401" s="48">
        <v>39785</v>
      </c>
      <c r="I401" s="48">
        <v>85</v>
      </c>
      <c r="J401" s="48">
        <v>85</v>
      </c>
      <c r="K401" s="48">
        <v>20</v>
      </c>
      <c r="L401" s="48">
        <v>7</v>
      </c>
      <c r="M401" s="49">
        <v>13</v>
      </c>
      <c r="N401" s="49"/>
      <c r="O401" s="49"/>
      <c r="P401" s="49"/>
      <c r="Q401" s="49"/>
      <c r="R401" s="49"/>
      <c r="S401" s="49"/>
      <c r="T401" s="49">
        <v>1</v>
      </c>
      <c r="U401" s="49"/>
      <c r="V401" s="41"/>
      <c r="W401" s="115"/>
      <c r="X401" s="115"/>
      <c r="Y401" s="115">
        <v>2546872</v>
      </c>
      <c r="Z401" s="115"/>
      <c r="AA401" s="115"/>
      <c r="AB401" s="115"/>
      <c r="AC401" s="113">
        <f t="shared" si="8"/>
        <v>2546872</v>
      </c>
      <c r="AD401" s="108" t="s">
        <v>167</v>
      </c>
    </row>
    <row r="402" spans="1:30" ht="14.25" thickBot="1" thickTop="1">
      <c r="A402" s="38">
        <v>36129</v>
      </c>
      <c r="B402" s="39" t="s">
        <v>100</v>
      </c>
      <c r="C402" s="40" t="s">
        <v>101</v>
      </c>
      <c r="D402" s="40" t="s">
        <v>911</v>
      </c>
      <c r="E402" s="48"/>
      <c r="F402" s="48"/>
      <c r="G402" s="48"/>
      <c r="H402" s="48">
        <v>39785</v>
      </c>
      <c r="I402" s="48">
        <v>103</v>
      </c>
      <c r="J402" s="48">
        <v>103</v>
      </c>
      <c r="K402" s="48">
        <v>17</v>
      </c>
      <c r="L402" s="48">
        <v>3</v>
      </c>
      <c r="M402" s="49">
        <v>14</v>
      </c>
      <c r="N402" s="49"/>
      <c r="O402" s="49"/>
      <c r="P402" s="49"/>
      <c r="Q402" s="49"/>
      <c r="R402" s="49"/>
      <c r="S402" s="49"/>
      <c r="T402" s="49"/>
      <c r="U402" s="49"/>
      <c r="V402" s="41"/>
      <c r="W402" s="115"/>
      <c r="X402" s="115"/>
      <c r="Y402" s="115">
        <v>348452.4</v>
      </c>
      <c r="Z402" s="115"/>
      <c r="AA402" s="115"/>
      <c r="AB402" s="115"/>
      <c r="AC402" s="113">
        <f t="shared" si="8"/>
        <v>348452.4</v>
      </c>
      <c r="AD402" s="108"/>
    </row>
    <row r="403" spans="1:30" ht="18" thickBot="1" thickTop="1">
      <c r="A403" s="38">
        <v>36144</v>
      </c>
      <c r="B403" s="39" t="s">
        <v>100</v>
      </c>
      <c r="C403" s="40" t="s">
        <v>784</v>
      </c>
      <c r="D403" s="40" t="s">
        <v>821</v>
      </c>
      <c r="E403" s="48"/>
      <c r="F403" s="48"/>
      <c r="G403" s="48"/>
      <c r="H403" s="48">
        <v>21324</v>
      </c>
      <c r="I403" s="48">
        <v>232</v>
      </c>
      <c r="J403" s="48">
        <v>232</v>
      </c>
      <c r="K403" s="48">
        <v>32</v>
      </c>
      <c r="L403" s="48"/>
      <c r="M403" s="49">
        <v>32</v>
      </c>
      <c r="N403" s="49"/>
      <c r="O403" s="49"/>
      <c r="P403" s="49"/>
      <c r="Q403" s="49"/>
      <c r="R403" s="49"/>
      <c r="S403" s="49"/>
      <c r="T403" s="49"/>
      <c r="U403" s="49"/>
      <c r="V403" s="41"/>
      <c r="W403" s="115">
        <v>5233956.16</v>
      </c>
      <c r="X403" s="115">
        <v>692224</v>
      </c>
      <c r="Y403" s="115"/>
      <c r="Z403" s="115"/>
      <c r="AA403" s="115"/>
      <c r="AB403" s="115"/>
      <c r="AC403" s="113">
        <f t="shared" si="8"/>
        <v>5926180.16</v>
      </c>
      <c r="AD403" s="108" t="s">
        <v>785</v>
      </c>
    </row>
    <row r="404" spans="1:30" ht="18" thickBot="1" thickTop="1">
      <c r="A404" s="38">
        <v>36106</v>
      </c>
      <c r="B404" s="39" t="s">
        <v>100</v>
      </c>
      <c r="C404" s="40" t="s">
        <v>613</v>
      </c>
      <c r="D404" s="40" t="s">
        <v>821</v>
      </c>
      <c r="E404" s="48"/>
      <c r="F404" s="48"/>
      <c r="G404" s="48"/>
      <c r="H404" s="48">
        <v>31650</v>
      </c>
      <c r="I404" s="48">
        <v>84</v>
      </c>
      <c r="J404" s="48">
        <v>84</v>
      </c>
      <c r="K404" s="48">
        <v>14</v>
      </c>
      <c r="L404" s="48">
        <v>6</v>
      </c>
      <c r="M404" s="49">
        <v>8</v>
      </c>
      <c r="N404" s="49">
        <v>8</v>
      </c>
      <c r="O404" s="49"/>
      <c r="P404" s="49"/>
      <c r="Q404" s="49">
        <v>1</v>
      </c>
      <c r="R404" s="49"/>
      <c r="S404" s="49"/>
      <c r="T404" s="49"/>
      <c r="U404" s="49"/>
      <c r="V404" s="41"/>
      <c r="W404" s="115"/>
      <c r="X404" s="115"/>
      <c r="Y404" s="115">
        <v>3416200</v>
      </c>
      <c r="Z404" s="115"/>
      <c r="AA404" s="115"/>
      <c r="AB404" s="115">
        <v>2000000</v>
      </c>
      <c r="AC404" s="113">
        <f t="shared" si="8"/>
        <v>5416200</v>
      </c>
      <c r="AD404" s="108" t="s">
        <v>8</v>
      </c>
    </row>
    <row r="405" spans="1:30" ht="18" thickBot="1" thickTop="1">
      <c r="A405" s="38">
        <v>36141</v>
      </c>
      <c r="B405" s="39" t="s">
        <v>100</v>
      </c>
      <c r="C405" s="40" t="s">
        <v>613</v>
      </c>
      <c r="D405" s="40" t="s">
        <v>821</v>
      </c>
      <c r="E405" s="48"/>
      <c r="F405" s="48"/>
      <c r="G405" s="48"/>
      <c r="H405" s="48">
        <v>31650</v>
      </c>
      <c r="I405" s="48">
        <v>12</v>
      </c>
      <c r="J405" s="48">
        <v>0</v>
      </c>
      <c r="K405" s="48">
        <v>3</v>
      </c>
      <c r="L405" s="48"/>
      <c r="M405" s="49">
        <v>3</v>
      </c>
      <c r="N405" s="49"/>
      <c r="O405" s="49"/>
      <c r="P405" s="49"/>
      <c r="Q405" s="49"/>
      <c r="R405" s="49"/>
      <c r="S405" s="49"/>
      <c r="T405" s="49"/>
      <c r="U405" s="49"/>
      <c r="V405" s="41"/>
      <c r="W405" s="115"/>
      <c r="X405" s="115"/>
      <c r="Y405" s="115"/>
      <c r="Z405" s="115"/>
      <c r="AA405" s="115"/>
      <c r="AB405" s="115"/>
      <c r="AC405" s="113">
        <f aca="true" t="shared" si="9" ref="AC405:AC441">+W405+X405+Y405+Z405+AA405+AB405</f>
        <v>0</v>
      </c>
      <c r="AD405" s="108" t="s">
        <v>711</v>
      </c>
    </row>
    <row r="406" spans="1:30" ht="34.5" thickBot="1" thickTop="1">
      <c r="A406" s="38">
        <v>36093</v>
      </c>
      <c r="B406" s="39" t="s">
        <v>100</v>
      </c>
      <c r="C406" s="40" t="s">
        <v>401</v>
      </c>
      <c r="D406" s="40" t="s">
        <v>107</v>
      </c>
      <c r="E406" s="48">
        <v>5</v>
      </c>
      <c r="F406" s="48">
        <v>5</v>
      </c>
      <c r="G406" s="48">
        <v>1</v>
      </c>
      <c r="H406" s="48">
        <v>21822</v>
      </c>
      <c r="I406" s="48">
        <v>900</v>
      </c>
      <c r="J406" s="48">
        <v>900</v>
      </c>
      <c r="K406" s="48">
        <v>150</v>
      </c>
      <c r="L406" s="48">
        <v>7</v>
      </c>
      <c r="M406" s="49">
        <v>30</v>
      </c>
      <c r="N406" s="49">
        <v>3</v>
      </c>
      <c r="O406" s="49">
        <v>4</v>
      </c>
      <c r="P406" s="49">
        <v>3</v>
      </c>
      <c r="Q406" s="49">
        <v>7</v>
      </c>
      <c r="R406" s="49"/>
      <c r="S406" s="49"/>
      <c r="T406" s="49"/>
      <c r="U406" s="49"/>
      <c r="V406" s="41" t="s">
        <v>808</v>
      </c>
      <c r="W406" s="115">
        <v>32125819.02</v>
      </c>
      <c r="X406" s="115">
        <v>3450000</v>
      </c>
      <c r="Y406" s="115"/>
      <c r="Z406" s="115"/>
      <c r="AA406" s="115"/>
      <c r="AB406" s="115"/>
      <c r="AC406" s="113">
        <f t="shared" si="9"/>
        <v>35575819.019999996</v>
      </c>
      <c r="AD406" s="108" t="s">
        <v>809</v>
      </c>
    </row>
    <row r="407" spans="1:30" ht="14.25" thickBot="1" thickTop="1">
      <c r="A407" s="38">
        <v>35944</v>
      </c>
      <c r="B407" s="39" t="s">
        <v>100</v>
      </c>
      <c r="C407" s="40" t="s">
        <v>875</v>
      </c>
      <c r="D407" s="40" t="s">
        <v>821</v>
      </c>
      <c r="E407" s="48"/>
      <c r="F407" s="48"/>
      <c r="G407" s="48"/>
      <c r="H407" s="48"/>
      <c r="I407" s="48"/>
      <c r="J407" s="48"/>
      <c r="K407" s="48"/>
      <c r="L407" s="48"/>
      <c r="M407" s="49"/>
      <c r="N407" s="49"/>
      <c r="O407" s="49"/>
      <c r="P407" s="49"/>
      <c r="Q407" s="49"/>
      <c r="R407" s="49"/>
      <c r="S407" s="49"/>
      <c r="T407" s="49"/>
      <c r="U407" s="49"/>
      <c r="V407" s="41"/>
      <c r="W407" s="115"/>
      <c r="X407" s="115">
        <v>9200000</v>
      </c>
      <c r="Y407" s="115"/>
      <c r="Z407" s="115"/>
      <c r="AA407" s="115"/>
      <c r="AB407" s="115"/>
      <c r="AC407" s="113">
        <f t="shared" si="9"/>
        <v>9200000</v>
      </c>
      <c r="AD407" s="108" t="s">
        <v>414</v>
      </c>
    </row>
    <row r="408" spans="1:30" ht="34.5" thickBot="1" thickTop="1">
      <c r="A408" s="38">
        <v>36134</v>
      </c>
      <c r="B408" s="39" t="s">
        <v>100</v>
      </c>
      <c r="C408" s="40" t="s">
        <v>275</v>
      </c>
      <c r="D408" s="40" t="s">
        <v>821</v>
      </c>
      <c r="E408" s="48"/>
      <c r="F408" s="48"/>
      <c r="G408" s="48"/>
      <c r="H408" s="48">
        <v>8240</v>
      </c>
      <c r="I408" s="48">
        <f>48*5</f>
        <v>240</v>
      </c>
      <c r="J408" s="48">
        <f>48*5</f>
        <v>240</v>
      </c>
      <c r="K408" s="48">
        <v>48</v>
      </c>
      <c r="L408" s="48"/>
      <c r="M408" s="49"/>
      <c r="N408" s="49"/>
      <c r="O408" s="49"/>
      <c r="P408" s="49"/>
      <c r="Q408" s="49"/>
      <c r="R408" s="49"/>
      <c r="S408" s="49"/>
      <c r="T408" s="49"/>
      <c r="U408" s="49"/>
      <c r="V408" s="41"/>
      <c r="W408" s="115">
        <v>1476687.84</v>
      </c>
      <c r="X408" s="115">
        <v>1038336</v>
      </c>
      <c r="Y408" s="115"/>
      <c r="Z408" s="115"/>
      <c r="AA408" s="115"/>
      <c r="AB408" s="115"/>
      <c r="AC408" s="113">
        <f t="shared" si="9"/>
        <v>2515023.84</v>
      </c>
      <c r="AD408" s="108" t="s">
        <v>276</v>
      </c>
    </row>
    <row r="409" spans="1:30" ht="14.25" thickBot="1" thickTop="1">
      <c r="A409" s="38">
        <v>36117</v>
      </c>
      <c r="B409" s="39" t="s">
        <v>49</v>
      </c>
      <c r="C409" s="40" t="s">
        <v>330</v>
      </c>
      <c r="D409" s="40" t="s">
        <v>821</v>
      </c>
      <c r="E409" s="48"/>
      <c r="F409" s="48"/>
      <c r="G409" s="48"/>
      <c r="H409" s="48">
        <v>20980</v>
      </c>
      <c r="I409" s="48">
        <v>100</v>
      </c>
      <c r="J409" s="48">
        <v>100</v>
      </c>
      <c r="K409" s="48">
        <v>19</v>
      </c>
      <c r="L409" s="48"/>
      <c r="M409" s="49">
        <v>19</v>
      </c>
      <c r="N409" s="49"/>
      <c r="O409" s="49"/>
      <c r="P409" s="49"/>
      <c r="Q409" s="49"/>
      <c r="R409" s="49"/>
      <c r="S409" s="49"/>
      <c r="T409" s="49"/>
      <c r="U409" s="49"/>
      <c r="V409" s="41"/>
      <c r="W409" s="115">
        <v>2407632</v>
      </c>
      <c r="X409" s="115"/>
      <c r="Y409" s="115"/>
      <c r="Z409" s="115"/>
      <c r="AA409" s="115"/>
      <c r="AB409" s="115"/>
      <c r="AC409" s="113">
        <f t="shared" si="9"/>
        <v>2407632</v>
      </c>
      <c r="AD409" s="108" t="s">
        <v>332</v>
      </c>
    </row>
    <row r="410" spans="1:30" ht="14.25" thickBot="1" thickTop="1">
      <c r="A410" s="38">
        <v>36130</v>
      </c>
      <c r="B410" s="39" t="s">
        <v>49</v>
      </c>
      <c r="C410" s="40" t="s">
        <v>330</v>
      </c>
      <c r="D410" s="40" t="s">
        <v>821</v>
      </c>
      <c r="E410" s="48"/>
      <c r="F410" s="48"/>
      <c r="G410" s="48"/>
      <c r="H410" s="48">
        <v>20980</v>
      </c>
      <c r="I410" s="48">
        <f>64+72+72</f>
        <v>208</v>
      </c>
      <c r="J410" s="48">
        <f>64+72+72</f>
        <v>208</v>
      </c>
      <c r="K410" s="48">
        <f>16+18+18</f>
        <v>52</v>
      </c>
      <c r="L410" s="48"/>
      <c r="M410" s="49">
        <f>14+16+16</f>
        <v>46</v>
      </c>
      <c r="N410" s="49">
        <v>3</v>
      </c>
      <c r="O410" s="49"/>
      <c r="P410" s="49"/>
      <c r="Q410" s="49">
        <v>3</v>
      </c>
      <c r="R410" s="49"/>
      <c r="S410" s="49"/>
      <c r="T410" s="49"/>
      <c r="U410" s="49"/>
      <c r="V410" s="41" t="s">
        <v>94</v>
      </c>
      <c r="W410" s="115">
        <v>8667793.16</v>
      </c>
      <c r="X410" s="115">
        <v>1124864</v>
      </c>
      <c r="Y410" s="115"/>
      <c r="Z410" s="115"/>
      <c r="AA410" s="115"/>
      <c r="AB410" s="115"/>
      <c r="AC410" s="113">
        <f t="shared" si="9"/>
        <v>9792657.16</v>
      </c>
      <c r="AD410" s="108" t="s">
        <v>747</v>
      </c>
    </row>
    <row r="411" spans="1:30" ht="24" thickBot="1" thickTop="1">
      <c r="A411" s="38">
        <v>35918</v>
      </c>
      <c r="B411" s="39" t="s">
        <v>49</v>
      </c>
      <c r="C411" s="40" t="s">
        <v>416</v>
      </c>
      <c r="D411" s="40" t="s">
        <v>821</v>
      </c>
      <c r="E411" s="48"/>
      <c r="F411" s="48"/>
      <c r="G411" s="48"/>
      <c r="H411" s="48">
        <v>25168</v>
      </c>
      <c r="I411" s="48">
        <v>400</v>
      </c>
      <c r="J411" s="48">
        <v>0</v>
      </c>
      <c r="K411" s="48">
        <v>80</v>
      </c>
      <c r="L411" s="48"/>
      <c r="M411" s="49"/>
      <c r="N411" s="49">
        <v>1</v>
      </c>
      <c r="O411" s="49"/>
      <c r="P411" s="49"/>
      <c r="Q411" s="49"/>
      <c r="R411" s="49"/>
      <c r="S411" s="49"/>
      <c r="T411" s="49"/>
      <c r="U411" s="49"/>
      <c r="V411" s="41" t="s">
        <v>94</v>
      </c>
      <c r="W411" s="115"/>
      <c r="X411" s="115"/>
      <c r="Y411" s="115"/>
      <c r="Z411" s="115"/>
      <c r="AA411" s="115"/>
      <c r="AB411" s="115"/>
      <c r="AC411" s="113">
        <f t="shared" si="9"/>
        <v>0</v>
      </c>
      <c r="AD411" s="108" t="s">
        <v>417</v>
      </c>
    </row>
    <row r="412" spans="1:30" ht="14.25" thickBot="1" thickTop="1">
      <c r="A412" s="38">
        <v>35852</v>
      </c>
      <c r="B412" s="39" t="s">
        <v>49</v>
      </c>
      <c r="C412" s="40" t="s">
        <v>54</v>
      </c>
      <c r="D412" s="40" t="s">
        <v>36</v>
      </c>
      <c r="E412" s="48"/>
      <c r="F412" s="48"/>
      <c r="G412" s="48"/>
      <c r="H412" s="48">
        <v>227478</v>
      </c>
      <c r="I412" s="48">
        <v>1000</v>
      </c>
      <c r="J412" s="48">
        <v>1000</v>
      </c>
      <c r="K412" s="48">
        <v>200</v>
      </c>
      <c r="L412" s="48"/>
      <c r="M412" s="49"/>
      <c r="N412" s="49"/>
      <c r="O412" s="49"/>
      <c r="P412" s="49"/>
      <c r="Q412" s="49"/>
      <c r="R412" s="49"/>
      <c r="S412" s="49"/>
      <c r="T412" s="49"/>
      <c r="U412" s="49"/>
      <c r="V412" s="41"/>
      <c r="W412" s="115"/>
      <c r="X412" s="115">
        <v>6900000</v>
      </c>
      <c r="Y412" s="115"/>
      <c r="Z412" s="115"/>
      <c r="AA412" s="115"/>
      <c r="AB412" s="115"/>
      <c r="AC412" s="113">
        <f t="shared" si="9"/>
        <v>6900000</v>
      </c>
      <c r="AD412" s="108"/>
    </row>
    <row r="413" spans="1:30" ht="26.25" thickBot="1" thickTop="1">
      <c r="A413" s="38">
        <v>35857</v>
      </c>
      <c r="B413" s="39" t="s">
        <v>49</v>
      </c>
      <c r="C413" s="40" t="s">
        <v>54</v>
      </c>
      <c r="D413" s="40" t="s">
        <v>25</v>
      </c>
      <c r="E413" s="48"/>
      <c r="F413" s="48"/>
      <c r="G413" s="48"/>
      <c r="H413" s="48">
        <v>227478</v>
      </c>
      <c r="I413" s="48">
        <v>100</v>
      </c>
      <c r="J413" s="48">
        <v>100</v>
      </c>
      <c r="K413" s="48">
        <v>25</v>
      </c>
      <c r="L413" s="48">
        <v>4</v>
      </c>
      <c r="M413" s="49">
        <v>21</v>
      </c>
      <c r="N413" s="49">
        <v>1</v>
      </c>
      <c r="O413" s="49"/>
      <c r="P413" s="49"/>
      <c r="Q413" s="49"/>
      <c r="R413" s="49"/>
      <c r="S413" s="49"/>
      <c r="T413" s="49"/>
      <c r="U413" s="49"/>
      <c r="V413" s="41" t="s">
        <v>103</v>
      </c>
      <c r="W413" s="115">
        <v>2317745</v>
      </c>
      <c r="X413" s="115"/>
      <c r="Y413" s="115">
        <v>7610759.999999999</v>
      </c>
      <c r="Z413" s="115"/>
      <c r="AA413" s="115"/>
      <c r="AB413" s="115"/>
      <c r="AC413" s="113">
        <f t="shared" si="9"/>
        <v>9928505</v>
      </c>
      <c r="AD413" s="108" t="s">
        <v>104</v>
      </c>
    </row>
    <row r="414" spans="1:30" ht="14.25" thickBot="1" thickTop="1">
      <c r="A414" s="38">
        <v>35870</v>
      </c>
      <c r="B414" s="39" t="s">
        <v>49</v>
      </c>
      <c r="C414" s="40" t="s">
        <v>54</v>
      </c>
      <c r="D414" s="40" t="s">
        <v>879</v>
      </c>
      <c r="E414" s="48"/>
      <c r="F414" s="48">
        <v>3</v>
      </c>
      <c r="G414" s="48"/>
      <c r="H414" s="48">
        <v>227478</v>
      </c>
      <c r="I414" s="48">
        <v>95</v>
      </c>
      <c r="J414" s="48">
        <v>95</v>
      </c>
      <c r="K414" s="48">
        <v>16</v>
      </c>
      <c r="L414" s="48">
        <v>16</v>
      </c>
      <c r="M414" s="49">
        <v>1</v>
      </c>
      <c r="N414" s="49"/>
      <c r="O414" s="49"/>
      <c r="P414" s="49"/>
      <c r="Q414" s="49"/>
      <c r="R414" s="49"/>
      <c r="S414" s="49"/>
      <c r="T414" s="49"/>
      <c r="U414" s="49"/>
      <c r="V414" s="41"/>
      <c r="W414" s="115"/>
      <c r="X414" s="115"/>
      <c r="Y414" s="116">
        <v>688344</v>
      </c>
      <c r="Z414" s="115"/>
      <c r="AA414" s="115"/>
      <c r="AB414" s="115"/>
      <c r="AC414" s="113">
        <f t="shared" si="9"/>
        <v>688344</v>
      </c>
      <c r="AD414" s="108" t="s">
        <v>105</v>
      </c>
    </row>
    <row r="415" spans="1:30" ht="14.25" thickBot="1" thickTop="1">
      <c r="A415" s="38">
        <v>35947</v>
      </c>
      <c r="B415" s="39" t="s">
        <v>49</v>
      </c>
      <c r="C415" s="40" t="s">
        <v>54</v>
      </c>
      <c r="D415" s="40" t="s">
        <v>879</v>
      </c>
      <c r="E415" s="48"/>
      <c r="F415" s="48"/>
      <c r="G415" s="48"/>
      <c r="H415" s="48">
        <v>227478</v>
      </c>
      <c r="I415" s="48">
        <v>200</v>
      </c>
      <c r="J415" s="48">
        <v>200</v>
      </c>
      <c r="K415" s="48">
        <v>32</v>
      </c>
      <c r="L415" s="48">
        <v>33</v>
      </c>
      <c r="M415" s="49"/>
      <c r="N415" s="49"/>
      <c r="O415" s="49"/>
      <c r="P415" s="49"/>
      <c r="Q415" s="49"/>
      <c r="R415" s="49"/>
      <c r="S415" s="49"/>
      <c r="T415" s="49"/>
      <c r="U415" s="49"/>
      <c r="V415" s="41"/>
      <c r="W415" s="115">
        <v>5397064</v>
      </c>
      <c r="X415" s="115"/>
      <c r="Y415" s="115">
        <v>2203443.2</v>
      </c>
      <c r="Z415" s="115"/>
      <c r="AA415" s="115"/>
      <c r="AB415" s="115"/>
      <c r="AC415" s="113">
        <f t="shared" si="9"/>
        <v>7600507.2</v>
      </c>
      <c r="AD415" s="108" t="s">
        <v>485</v>
      </c>
    </row>
    <row r="416" spans="1:30" ht="14.25" thickBot="1" thickTop="1">
      <c r="A416" s="38">
        <v>36131</v>
      </c>
      <c r="B416" s="39" t="s">
        <v>49</v>
      </c>
      <c r="C416" s="40" t="s">
        <v>54</v>
      </c>
      <c r="D416" s="40" t="s">
        <v>821</v>
      </c>
      <c r="E416" s="48"/>
      <c r="F416" s="48"/>
      <c r="G416" s="48"/>
      <c r="H416" s="48">
        <v>227478</v>
      </c>
      <c r="I416" s="48">
        <v>1750</v>
      </c>
      <c r="J416" s="48">
        <v>1750</v>
      </c>
      <c r="K416" s="48">
        <v>348</v>
      </c>
      <c r="L416" s="48"/>
      <c r="M416" s="49"/>
      <c r="N416" s="49"/>
      <c r="O416" s="49"/>
      <c r="P416" s="49"/>
      <c r="Q416" s="49"/>
      <c r="R416" s="49"/>
      <c r="S416" s="49"/>
      <c r="T416" s="49"/>
      <c r="U416" s="49"/>
      <c r="V416" s="41" t="s">
        <v>94</v>
      </c>
      <c r="W416" s="115">
        <v>49866983.63999999</v>
      </c>
      <c r="X416" s="115">
        <v>7214736</v>
      </c>
      <c r="Y416" s="115">
        <v>6832399.999999999</v>
      </c>
      <c r="Z416" s="115"/>
      <c r="AA416" s="115"/>
      <c r="AB416" s="115"/>
      <c r="AC416" s="113">
        <f t="shared" si="9"/>
        <v>63914119.63999999</v>
      </c>
      <c r="AD416" s="108" t="s">
        <v>274</v>
      </c>
    </row>
    <row r="417" spans="1:30" ht="24" thickBot="1" thickTop="1">
      <c r="A417" s="38">
        <v>35916</v>
      </c>
      <c r="B417" s="39" t="s">
        <v>49</v>
      </c>
      <c r="C417" s="40" t="s">
        <v>418</v>
      </c>
      <c r="D417" s="40" t="s">
        <v>821</v>
      </c>
      <c r="E417" s="48"/>
      <c r="F417" s="48"/>
      <c r="G417" s="48"/>
      <c r="H417" s="48">
        <v>20838</v>
      </c>
      <c r="I417" s="48">
        <v>25</v>
      </c>
      <c r="J417" s="48">
        <v>0</v>
      </c>
      <c r="K417" s="48">
        <v>5</v>
      </c>
      <c r="L417" s="48"/>
      <c r="M417" s="49">
        <v>5</v>
      </c>
      <c r="N417" s="49"/>
      <c r="O417" s="49"/>
      <c r="P417" s="49"/>
      <c r="Q417" s="49"/>
      <c r="R417" s="49"/>
      <c r="S417" s="49"/>
      <c r="T417" s="49"/>
      <c r="U417" s="49"/>
      <c r="V417" s="41"/>
      <c r="W417" s="115"/>
      <c r="X417" s="115"/>
      <c r="Y417" s="115"/>
      <c r="Z417" s="115"/>
      <c r="AA417" s="115"/>
      <c r="AB417" s="115"/>
      <c r="AC417" s="113">
        <f t="shared" si="9"/>
        <v>0</v>
      </c>
      <c r="AD417" s="108" t="s">
        <v>419</v>
      </c>
    </row>
    <row r="418" spans="1:30" ht="14.25" thickBot="1" thickTop="1">
      <c r="A418" s="38">
        <v>35904</v>
      </c>
      <c r="B418" s="39" t="s">
        <v>49</v>
      </c>
      <c r="C418" s="40" t="s">
        <v>168</v>
      </c>
      <c r="D418" s="40" t="s">
        <v>821</v>
      </c>
      <c r="E418" s="48">
        <v>2</v>
      </c>
      <c r="F418" s="48"/>
      <c r="G418" s="48"/>
      <c r="H418" s="48">
        <v>1666468</v>
      </c>
      <c r="I418" s="48">
        <v>363</v>
      </c>
      <c r="J418" s="48">
        <v>363</v>
      </c>
      <c r="K418" s="48">
        <v>88</v>
      </c>
      <c r="L418" s="48"/>
      <c r="M418" s="49"/>
      <c r="N418" s="49">
        <v>1</v>
      </c>
      <c r="O418" s="49"/>
      <c r="P418" s="49"/>
      <c r="Q418" s="49"/>
      <c r="R418" s="49"/>
      <c r="S418" s="49"/>
      <c r="T418" s="49"/>
      <c r="U418" s="49"/>
      <c r="V418" s="41"/>
      <c r="W418" s="115">
        <v>22780151</v>
      </c>
      <c r="X418" s="115">
        <v>4600000</v>
      </c>
      <c r="Y418" s="115"/>
      <c r="Z418" s="115"/>
      <c r="AA418" s="115"/>
      <c r="AB418" s="115"/>
      <c r="AC418" s="113">
        <f t="shared" si="9"/>
        <v>27380151</v>
      </c>
      <c r="AD418" s="108" t="s">
        <v>169</v>
      </c>
    </row>
    <row r="419" spans="1:30" ht="14.25" thickBot="1" thickTop="1">
      <c r="A419" s="38">
        <v>35922</v>
      </c>
      <c r="B419" s="39" t="s">
        <v>49</v>
      </c>
      <c r="C419" s="40" t="s">
        <v>420</v>
      </c>
      <c r="D419" s="40" t="s">
        <v>821</v>
      </c>
      <c r="E419" s="48"/>
      <c r="F419" s="48"/>
      <c r="G419" s="48"/>
      <c r="H419" s="48">
        <v>52783</v>
      </c>
      <c r="I419" s="48">
        <v>60</v>
      </c>
      <c r="J419" s="48">
        <v>0</v>
      </c>
      <c r="K419" s="48">
        <v>12</v>
      </c>
      <c r="L419" s="48"/>
      <c r="M419" s="49"/>
      <c r="N419" s="49"/>
      <c r="O419" s="49"/>
      <c r="P419" s="49"/>
      <c r="Q419" s="49"/>
      <c r="R419" s="49"/>
      <c r="S419" s="49"/>
      <c r="T419" s="49"/>
      <c r="U419" s="49"/>
      <c r="V419" s="41"/>
      <c r="W419" s="115"/>
      <c r="X419" s="115"/>
      <c r="Y419" s="115"/>
      <c r="Z419" s="115"/>
      <c r="AA419" s="115"/>
      <c r="AB419" s="115"/>
      <c r="AC419" s="113">
        <f t="shared" si="9"/>
        <v>0</v>
      </c>
      <c r="AD419" s="108"/>
    </row>
    <row r="420" spans="1:30" ht="14.25" thickBot="1" thickTop="1">
      <c r="A420" s="38">
        <v>35922</v>
      </c>
      <c r="B420" s="39" t="s">
        <v>49</v>
      </c>
      <c r="C420" s="40" t="s">
        <v>421</v>
      </c>
      <c r="D420" s="40" t="s">
        <v>891</v>
      </c>
      <c r="E420" s="48"/>
      <c r="F420" s="48"/>
      <c r="G420" s="48"/>
      <c r="H420" s="48">
        <v>105234</v>
      </c>
      <c r="I420" s="48">
        <v>160</v>
      </c>
      <c r="J420" s="48">
        <v>0</v>
      </c>
      <c r="K420" s="48">
        <v>32</v>
      </c>
      <c r="L420" s="48"/>
      <c r="M420" s="49"/>
      <c r="N420" s="49"/>
      <c r="O420" s="49"/>
      <c r="P420" s="49"/>
      <c r="Q420" s="49"/>
      <c r="R420" s="49"/>
      <c r="S420" s="49"/>
      <c r="T420" s="49"/>
      <c r="U420" s="49"/>
      <c r="V420" s="41"/>
      <c r="W420" s="115"/>
      <c r="X420" s="115"/>
      <c r="Y420" s="115"/>
      <c r="Z420" s="115"/>
      <c r="AA420" s="115"/>
      <c r="AB420" s="115"/>
      <c r="AC420" s="113">
        <f t="shared" si="9"/>
        <v>0</v>
      </c>
      <c r="AD420" s="108" t="s">
        <v>422</v>
      </c>
    </row>
    <row r="421" spans="1:30" ht="14.25" thickBot="1" thickTop="1">
      <c r="A421" s="38">
        <v>35918</v>
      </c>
      <c r="B421" s="39" t="s">
        <v>49</v>
      </c>
      <c r="C421" s="40" t="s">
        <v>415</v>
      </c>
      <c r="D421" s="40" t="s">
        <v>821</v>
      </c>
      <c r="E421" s="48"/>
      <c r="F421" s="48"/>
      <c r="G421" s="48"/>
      <c r="H421" s="48">
        <v>10290</v>
      </c>
      <c r="I421" s="48">
        <v>5</v>
      </c>
      <c r="J421" s="48">
        <v>0</v>
      </c>
      <c r="K421" s="48">
        <v>1</v>
      </c>
      <c r="L421" s="48">
        <v>1</v>
      </c>
      <c r="M421" s="49"/>
      <c r="N421" s="49"/>
      <c r="O421" s="49"/>
      <c r="P421" s="49"/>
      <c r="Q421" s="49"/>
      <c r="R421" s="49"/>
      <c r="S421" s="49"/>
      <c r="T421" s="49"/>
      <c r="U421" s="49"/>
      <c r="V421" s="41"/>
      <c r="W421" s="115"/>
      <c r="X421" s="115"/>
      <c r="Y421" s="115"/>
      <c r="Z421" s="115"/>
      <c r="AA421" s="115"/>
      <c r="AB421" s="115"/>
      <c r="AC421" s="113">
        <f t="shared" si="9"/>
        <v>0</v>
      </c>
      <c r="AD421" s="108"/>
    </row>
    <row r="422" spans="1:30" ht="18" thickBot="1" thickTop="1">
      <c r="A422" s="38">
        <v>36129</v>
      </c>
      <c r="B422" s="39" t="s">
        <v>49</v>
      </c>
      <c r="C422" s="40" t="s">
        <v>4</v>
      </c>
      <c r="D422" s="40" t="s">
        <v>891</v>
      </c>
      <c r="E422" s="48"/>
      <c r="F422" s="48"/>
      <c r="G422" s="48"/>
      <c r="H422" s="48">
        <v>48505</v>
      </c>
      <c r="I422" s="48">
        <f>60*5</f>
        <v>300</v>
      </c>
      <c r="J422" s="48">
        <f>60*5</f>
        <v>300</v>
      </c>
      <c r="K422" s="48">
        <v>60</v>
      </c>
      <c r="L422" s="48"/>
      <c r="M422" s="49"/>
      <c r="N422" s="49"/>
      <c r="O422" s="49"/>
      <c r="P422" s="49"/>
      <c r="Q422" s="49"/>
      <c r="R422" s="49"/>
      <c r="S422" s="49"/>
      <c r="T422" s="49"/>
      <c r="U422" s="49"/>
      <c r="V422" s="41" t="s">
        <v>5</v>
      </c>
      <c r="W422" s="115">
        <v>10001299.8</v>
      </c>
      <c r="X422" s="115">
        <v>1243920</v>
      </c>
      <c r="Y422" s="115">
        <v>2732960</v>
      </c>
      <c r="Z422" s="115"/>
      <c r="AA422" s="115"/>
      <c r="AB422" s="115"/>
      <c r="AC422" s="113">
        <f t="shared" si="9"/>
        <v>13978179.8</v>
      </c>
      <c r="AD422" s="108" t="s">
        <v>6</v>
      </c>
    </row>
    <row r="423" spans="1:30" ht="26.25" thickBot="1" thickTop="1">
      <c r="A423" s="38">
        <v>36133</v>
      </c>
      <c r="B423" s="39" t="s">
        <v>49</v>
      </c>
      <c r="C423" s="40" t="s">
        <v>4</v>
      </c>
      <c r="D423" s="40" t="s">
        <v>821</v>
      </c>
      <c r="E423" s="48"/>
      <c r="F423" s="48"/>
      <c r="G423" s="48"/>
      <c r="H423" s="48">
        <v>48505</v>
      </c>
      <c r="I423" s="48">
        <v>78</v>
      </c>
      <c r="J423" s="48">
        <v>0</v>
      </c>
      <c r="K423" s="48">
        <v>17</v>
      </c>
      <c r="L423" s="48">
        <v>12</v>
      </c>
      <c r="M423" s="49"/>
      <c r="N423" s="49"/>
      <c r="O423" s="49"/>
      <c r="P423" s="49"/>
      <c r="Q423" s="49"/>
      <c r="R423" s="49"/>
      <c r="S423" s="49"/>
      <c r="T423" s="49"/>
      <c r="U423" s="49"/>
      <c r="V423" s="41"/>
      <c r="W423" s="115"/>
      <c r="X423" s="115"/>
      <c r="Y423" s="115"/>
      <c r="Z423" s="115"/>
      <c r="AA423" s="115"/>
      <c r="AB423" s="115"/>
      <c r="AC423" s="113">
        <f t="shared" si="9"/>
        <v>0</v>
      </c>
      <c r="AD423" s="108" t="s">
        <v>75</v>
      </c>
    </row>
    <row r="424" spans="1:30" ht="14.25" thickBot="1" thickTop="1">
      <c r="A424" s="38">
        <v>35925</v>
      </c>
      <c r="B424" s="39" t="s">
        <v>49</v>
      </c>
      <c r="C424" s="40" t="s">
        <v>424</v>
      </c>
      <c r="D424" s="40" t="s">
        <v>911</v>
      </c>
      <c r="E424" s="48"/>
      <c r="F424" s="48"/>
      <c r="G424" s="48"/>
      <c r="H424" s="48">
        <v>48145</v>
      </c>
      <c r="I424" s="48">
        <v>125</v>
      </c>
      <c r="J424" s="48">
        <v>125</v>
      </c>
      <c r="K424" s="48">
        <v>25</v>
      </c>
      <c r="L424" s="48"/>
      <c r="M424" s="49">
        <v>10</v>
      </c>
      <c r="N424" s="49"/>
      <c r="O424" s="49"/>
      <c r="P424" s="49">
        <v>1</v>
      </c>
      <c r="Q424" s="49"/>
      <c r="R424" s="49"/>
      <c r="S424" s="49"/>
      <c r="T424" s="49"/>
      <c r="U424" s="49"/>
      <c r="V424" s="41" t="s">
        <v>94</v>
      </c>
      <c r="W424" s="115">
        <v>3512187.75</v>
      </c>
      <c r="X424" s="115"/>
      <c r="Y424" s="115"/>
      <c r="Z424" s="115"/>
      <c r="AA424" s="115"/>
      <c r="AB424" s="115"/>
      <c r="AC424" s="113">
        <f t="shared" si="9"/>
        <v>3512187.75</v>
      </c>
      <c r="AD424" s="108"/>
    </row>
    <row r="425" spans="1:30" ht="14.25" thickBot="1" thickTop="1">
      <c r="A425" s="38">
        <v>35946</v>
      </c>
      <c r="B425" s="39" t="s">
        <v>49</v>
      </c>
      <c r="C425" s="40" t="s">
        <v>425</v>
      </c>
      <c r="D425" s="40" t="s">
        <v>821</v>
      </c>
      <c r="E425" s="48"/>
      <c r="F425" s="48"/>
      <c r="G425" s="48"/>
      <c r="H425" s="48">
        <v>13722</v>
      </c>
      <c r="I425" s="48">
        <v>275</v>
      </c>
      <c r="J425" s="48">
        <v>0</v>
      </c>
      <c r="K425" s="48">
        <v>55</v>
      </c>
      <c r="L425" s="48"/>
      <c r="M425" s="49">
        <v>55</v>
      </c>
      <c r="N425" s="49">
        <v>2</v>
      </c>
      <c r="O425" s="49"/>
      <c r="P425" s="49"/>
      <c r="Q425" s="49">
        <v>2</v>
      </c>
      <c r="R425" s="49"/>
      <c r="S425" s="49"/>
      <c r="T425" s="49"/>
      <c r="U425" s="49"/>
      <c r="V425" s="41"/>
      <c r="W425" s="115"/>
      <c r="X425" s="115"/>
      <c r="Y425" s="115"/>
      <c r="Z425" s="115"/>
      <c r="AA425" s="115"/>
      <c r="AB425" s="115"/>
      <c r="AC425" s="113">
        <f t="shared" si="9"/>
        <v>0</v>
      </c>
      <c r="AD425" s="108" t="s">
        <v>428</v>
      </c>
    </row>
    <row r="426" spans="1:30" ht="14.25" thickBot="1" thickTop="1">
      <c r="A426" s="38">
        <v>35946</v>
      </c>
      <c r="B426" s="39" t="s">
        <v>49</v>
      </c>
      <c r="C426" s="40" t="s">
        <v>426</v>
      </c>
      <c r="D426" s="40" t="s">
        <v>821</v>
      </c>
      <c r="E426" s="48"/>
      <c r="F426" s="48"/>
      <c r="G426" s="48"/>
      <c r="H426" s="48">
        <v>19465</v>
      </c>
      <c r="I426" s="48">
        <v>50</v>
      </c>
      <c r="J426" s="48">
        <v>0</v>
      </c>
      <c r="K426" s="48">
        <v>10</v>
      </c>
      <c r="L426" s="48"/>
      <c r="M426" s="49"/>
      <c r="N426" s="49"/>
      <c r="O426" s="49"/>
      <c r="P426" s="49"/>
      <c r="Q426" s="49"/>
      <c r="R426" s="49"/>
      <c r="S426" s="49"/>
      <c r="T426" s="49"/>
      <c r="U426" s="49"/>
      <c r="V426" s="41"/>
      <c r="W426" s="115"/>
      <c r="X426" s="115"/>
      <c r="Y426" s="115"/>
      <c r="Z426" s="115"/>
      <c r="AA426" s="115"/>
      <c r="AB426" s="115"/>
      <c r="AC426" s="113">
        <f t="shared" si="9"/>
        <v>0</v>
      </c>
      <c r="AD426" s="108"/>
    </row>
    <row r="427" spans="1:30" ht="14.25" thickBot="1" thickTop="1">
      <c r="A427" s="38">
        <v>36138</v>
      </c>
      <c r="B427" s="39" t="s">
        <v>49</v>
      </c>
      <c r="C427" s="40" t="s">
        <v>426</v>
      </c>
      <c r="D427" s="40" t="s">
        <v>821</v>
      </c>
      <c r="E427" s="48"/>
      <c r="F427" s="48"/>
      <c r="G427" s="48"/>
      <c r="H427" s="48">
        <v>19465</v>
      </c>
      <c r="I427" s="48">
        <f>11*5</f>
        <v>55</v>
      </c>
      <c r="J427" s="48">
        <v>0</v>
      </c>
      <c r="K427" s="48">
        <v>11</v>
      </c>
      <c r="L427" s="48"/>
      <c r="M427" s="49"/>
      <c r="N427" s="49"/>
      <c r="O427" s="49"/>
      <c r="P427" s="49"/>
      <c r="Q427" s="49"/>
      <c r="R427" s="49"/>
      <c r="S427" s="49"/>
      <c r="T427" s="49"/>
      <c r="U427" s="49"/>
      <c r="V427" s="41" t="s">
        <v>94</v>
      </c>
      <c r="W427" s="115"/>
      <c r="X427" s="115"/>
      <c r="Y427" s="115"/>
      <c r="Z427" s="115"/>
      <c r="AA427" s="115"/>
      <c r="AB427" s="115"/>
      <c r="AC427" s="113">
        <f t="shared" si="9"/>
        <v>0</v>
      </c>
      <c r="AD427" s="108" t="s">
        <v>746</v>
      </c>
    </row>
    <row r="428" spans="1:30" ht="34.5" thickBot="1" thickTop="1">
      <c r="A428" s="38">
        <v>36120</v>
      </c>
      <c r="B428" s="39" t="s">
        <v>49</v>
      </c>
      <c r="C428" s="40" t="s">
        <v>440</v>
      </c>
      <c r="D428" s="40" t="s">
        <v>891</v>
      </c>
      <c r="E428" s="48"/>
      <c r="F428" s="48"/>
      <c r="G428" s="48"/>
      <c r="H428" s="48">
        <v>11930</v>
      </c>
      <c r="I428" s="48">
        <v>70</v>
      </c>
      <c r="J428" s="48">
        <v>70</v>
      </c>
      <c r="K428" s="48">
        <v>17</v>
      </c>
      <c r="L428" s="48">
        <v>11</v>
      </c>
      <c r="M428" s="49"/>
      <c r="N428" s="49">
        <v>1</v>
      </c>
      <c r="O428" s="49"/>
      <c r="P428" s="49"/>
      <c r="Q428" s="49"/>
      <c r="R428" s="49"/>
      <c r="S428" s="49"/>
      <c r="T428" s="49"/>
      <c r="U428" s="49"/>
      <c r="V428" s="41"/>
      <c r="W428" s="115">
        <v>2833701.61</v>
      </c>
      <c r="X428" s="115">
        <v>352444</v>
      </c>
      <c r="Y428" s="115"/>
      <c r="Z428" s="115"/>
      <c r="AA428" s="115"/>
      <c r="AB428" s="115"/>
      <c r="AC428" s="113">
        <f t="shared" si="9"/>
        <v>3186145.61</v>
      </c>
      <c r="AD428" s="108" t="s">
        <v>749</v>
      </c>
    </row>
    <row r="429" spans="1:30" ht="14.25" thickBot="1" thickTop="1">
      <c r="A429" s="38">
        <v>35865</v>
      </c>
      <c r="B429" s="39" t="s">
        <v>49</v>
      </c>
      <c r="C429" s="40" t="s">
        <v>106</v>
      </c>
      <c r="D429" s="40" t="s">
        <v>911</v>
      </c>
      <c r="E429" s="48"/>
      <c r="F429" s="48"/>
      <c r="G429" s="48"/>
      <c r="H429" s="48">
        <v>51081</v>
      </c>
      <c r="I429" s="48">
        <v>180</v>
      </c>
      <c r="J429" s="48">
        <v>180</v>
      </c>
      <c r="K429" s="48">
        <v>36</v>
      </c>
      <c r="L429" s="48"/>
      <c r="M429" s="49">
        <v>36</v>
      </c>
      <c r="N429" s="49"/>
      <c r="O429" s="49"/>
      <c r="P429" s="49"/>
      <c r="Q429" s="49"/>
      <c r="R429" s="49"/>
      <c r="S429" s="49"/>
      <c r="T429" s="49">
        <v>2</v>
      </c>
      <c r="U429" s="49">
        <v>4</v>
      </c>
      <c r="V429" s="41"/>
      <c r="W429" s="115"/>
      <c r="X429" s="115"/>
      <c r="Y429" s="116">
        <v>1789694</v>
      </c>
      <c r="Z429" s="115"/>
      <c r="AA429" s="115"/>
      <c r="AB429" s="115"/>
      <c r="AC429" s="113">
        <f t="shared" si="9"/>
        <v>1789694</v>
      </c>
      <c r="AD429" s="108"/>
    </row>
    <row r="430" spans="1:30" ht="14.25" thickBot="1" thickTop="1">
      <c r="A430" s="38">
        <v>36133</v>
      </c>
      <c r="B430" s="39" t="s">
        <v>49</v>
      </c>
      <c r="C430" s="40" t="s">
        <v>106</v>
      </c>
      <c r="D430" s="40" t="s">
        <v>911</v>
      </c>
      <c r="E430" s="48"/>
      <c r="F430" s="48"/>
      <c r="G430" s="48"/>
      <c r="H430" s="48">
        <v>51081</v>
      </c>
      <c r="I430" s="48">
        <f>25*5</f>
        <v>125</v>
      </c>
      <c r="J430" s="48">
        <f>25*5</f>
        <v>125</v>
      </c>
      <c r="K430" s="48">
        <v>25</v>
      </c>
      <c r="L430" s="48"/>
      <c r="M430" s="49"/>
      <c r="N430" s="49"/>
      <c r="O430" s="49"/>
      <c r="P430" s="49"/>
      <c r="Q430" s="49"/>
      <c r="R430" s="49"/>
      <c r="S430" s="49"/>
      <c r="T430" s="49">
        <v>1</v>
      </c>
      <c r="U430" s="49"/>
      <c r="V430" s="41"/>
      <c r="W430" s="115"/>
      <c r="X430" s="115"/>
      <c r="Y430" s="115">
        <v>1366480</v>
      </c>
      <c r="Z430" s="115"/>
      <c r="AA430" s="115"/>
      <c r="AB430" s="115"/>
      <c r="AC430" s="113">
        <f t="shared" si="9"/>
        <v>1366480</v>
      </c>
      <c r="AD430" s="108"/>
    </row>
    <row r="431" spans="1:30" ht="18" thickBot="1" thickTop="1">
      <c r="A431" s="38">
        <v>35851</v>
      </c>
      <c r="B431" s="39" t="s">
        <v>49</v>
      </c>
      <c r="C431" s="40" t="s">
        <v>50</v>
      </c>
      <c r="D431" s="40" t="s">
        <v>884</v>
      </c>
      <c r="E431" s="48"/>
      <c r="F431" s="48"/>
      <c r="G431" s="48"/>
      <c r="H431" s="48">
        <v>17730</v>
      </c>
      <c r="I431" s="48">
        <v>79</v>
      </c>
      <c r="J431" s="48">
        <v>79</v>
      </c>
      <c r="K431" s="48">
        <v>16</v>
      </c>
      <c r="L431" s="48"/>
      <c r="M431" s="49"/>
      <c r="N431" s="49"/>
      <c r="O431" s="49"/>
      <c r="P431" s="49"/>
      <c r="Q431" s="49"/>
      <c r="R431" s="49"/>
      <c r="S431" s="49"/>
      <c r="T431" s="49"/>
      <c r="U431" s="49"/>
      <c r="V431" s="41" t="s">
        <v>53</v>
      </c>
      <c r="W431" s="115">
        <v>2812095.6</v>
      </c>
      <c r="X431" s="115">
        <v>690000</v>
      </c>
      <c r="Y431" s="115"/>
      <c r="Z431" s="115"/>
      <c r="AA431" s="115"/>
      <c r="AB431" s="115"/>
      <c r="AC431" s="113">
        <f t="shared" si="9"/>
        <v>3502095.6</v>
      </c>
      <c r="AD431" s="108" t="s">
        <v>52</v>
      </c>
    </row>
    <row r="432" spans="1:30" ht="14.25" thickBot="1" thickTop="1">
      <c r="A432" s="38">
        <v>35917</v>
      </c>
      <c r="B432" s="39" t="s">
        <v>49</v>
      </c>
      <c r="C432" s="40" t="s">
        <v>50</v>
      </c>
      <c r="D432" s="40" t="s">
        <v>911</v>
      </c>
      <c r="E432" s="48"/>
      <c r="F432" s="48"/>
      <c r="G432" s="48"/>
      <c r="H432" s="48">
        <v>17730</v>
      </c>
      <c r="I432" s="48">
        <v>85</v>
      </c>
      <c r="J432" s="48">
        <v>0</v>
      </c>
      <c r="K432" s="48">
        <v>17</v>
      </c>
      <c r="L432" s="48"/>
      <c r="M432" s="49">
        <v>17</v>
      </c>
      <c r="N432" s="49"/>
      <c r="O432" s="49"/>
      <c r="P432" s="49"/>
      <c r="Q432" s="49"/>
      <c r="R432" s="49"/>
      <c r="S432" s="49"/>
      <c r="T432" s="49"/>
      <c r="U432" s="49"/>
      <c r="V432" s="41"/>
      <c r="W432" s="115"/>
      <c r="X432" s="115"/>
      <c r="Y432" s="115"/>
      <c r="Z432" s="115"/>
      <c r="AA432" s="115"/>
      <c r="AB432" s="115"/>
      <c r="AC432" s="113">
        <f t="shared" si="9"/>
        <v>0</v>
      </c>
      <c r="AD432" s="108"/>
    </row>
    <row r="433" spans="1:30" ht="14.25" thickBot="1" thickTop="1">
      <c r="A433" s="38">
        <v>35946</v>
      </c>
      <c r="B433" s="39" t="s">
        <v>49</v>
      </c>
      <c r="C433" s="40" t="s">
        <v>427</v>
      </c>
      <c r="D433" s="40" t="s">
        <v>821</v>
      </c>
      <c r="E433" s="48"/>
      <c r="F433" s="48"/>
      <c r="G433" s="48"/>
      <c r="H433" s="48">
        <v>145531</v>
      </c>
      <c r="I433" s="48">
        <v>150</v>
      </c>
      <c r="J433" s="48">
        <v>0</v>
      </c>
      <c r="K433" s="48">
        <v>30</v>
      </c>
      <c r="L433" s="48"/>
      <c r="M433" s="49"/>
      <c r="N433" s="49"/>
      <c r="O433" s="49"/>
      <c r="P433" s="49"/>
      <c r="Q433" s="49"/>
      <c r="R433" s="49"/>
      <c r="S433" s="49"/>
      <c r="T433" s="49"/>
      <c r="U433" s="49"/>
      <c r="V433" s="41"/>
      <c r="W433" s="115"/>
      <c r="X433" s="115"/>
      <c r="Y433" s="115"/>
      <c r="Z433" s="115"/>
      <c r="AA433" s="115"/>
      <c r="AB433" s="115"/>
      <c r="AC433" s="113">
        <f t="shared" si="9"/>
        <v>0</v>
      </c>
      <c r="AD433" s="108" t="s">
        <v>429</v>
      </c>
    </row>
    <row r="434" spans="1:30" ht="14.25" thickBot="1" thickTop="1">
      <c r="A434" s="38">
        <v>36120</v>
      </c>
      <c r="B434" s="39" t="s">
        <v>49</v>
      </c>
      <c r="C434" s="40" t="s">
        <v>427</v>
      </c>
      <c r="D434" s="40" t="s">
        <v>821</v>
      </c>
      <c r="E434" s="48"/>
      <c r="F434" s="48"/>
      <c r="G434" s="48"/>
      <c r="H434" s="48">
        <v>145531</v>
      </c>
      <c r="I434" s="48">
        <f>27*5</f>
        <v>135</v>
      </c>
      <c r="J434" s="48">
        <f>27*5</f>
        <v>135</v>
      </c>
      <c r="K434" s="48">
        <v>27</v>
      </c>
      <c r="L434" s="48"/>
      <c r="M434" s="49"/>
      <c r="N434" s="49"/>
      <c r="O434" s="49"/>
      <c r="P434" s="49"/>
      <c r="Q434" s="49"/>
      <c r="R434" s="49"/>
      <c r="S434" s="49"/>
      <c r="T434" s="49"/>
      <c r="U434" s="49"/>
      <c r="V434" s="41"/>
      <c r="W434" s="115">
        <v>4500584.91</v>
      </c>
      <c r="X434" s="115">
        <v>559764</v>
      </c>
      <c r="Y434" s="115"/>
      <c r="Z434" s="115"/>
      <c r="AA434" s="115"/>
      <c r="AB434" s="115"/>
      <c r="AC434" s="113">
        <f t="shared" si="9"/>
        <v>5060348.91</v>
      </c>
      <c r="AD434" s="108"/>
    </row>
    <row r="435" spans="1:30" ht="18" thickBot="1" thickTop="1">
      <c r="A435" s="38">
        <v>35922</v>
      </c>
      <c r="B435" s="39" t="s">
        <v>49</v>
      </c>
      <c r="C435" s="40" t="s">
        <v>875</v>
      </c>
      <c r="D435" s="40" t="s">
        <v>821</v>
      </c>
      <c r="E435" s="48"/>
      <c r="F435" s="48"/>
      <c r="G435" s="48"/>
      <c r="H435" s="48"/>
      <c r="I435" s="48"/>
      <c r="J435" s="48"/>
      <c r="K435" s="48"/>
      <c r="L435" s="48"/>
      <c r="M435" s="49"/>
      <c r="N435" s="49"/>
      <c r="O435" s="49"/>
      <c r="P435" s="49"/>
      <c r="Q435" s="49"/>
      <c r="R435" s="49"/>
      <c r="S435" s="49"/>
      <c r="T435" s="49"/>
      <c r="U435" s="49"/>
      <c r="V435" s="41"/>
      <c r="W435" s="115">
        <v>22692613.319999997</v>
      </c>
      <c r="X435" s="115">
        <v>3243000</v>
      </c>
      <c r="Y435" s="115"/>
      <c r="Z435" s="115"/>
      <c r="AA435" s="115"/>
      <c r="AB435" s="115"/>
      <c r="AC435" s="113">
        <f t="shared" si="9"/>
        <v>25935613.319999997</v>
      </c>
      <c r="AD435" s="108" t="s">
        <v>423</v>
      </c>
    </row>
    <row r="436" spans="1:30" ht="14.25" thickBot="1" thickTop="1">
      <c r="A436" s="38">
        <v>35908</v>
      </c>
      <c r="B436" s="39" t="s">
        <v>49</v>
      </c>
      <c r="C436" s="40" t="s">
        <v>170</v>
      </c>
      <c r="D436" s="40" t="s">
        <v>911</v>
      </c>
      <c r="E436" s="48"/>
      <c r="F436" s="48"/>
      <c r="G436" s="48"/>
      <c r="H436" s="48">
        <v>62305</v>
      </c>
      <c r="I436" s="48">
        <v>435</v>
      </c>
      <c r="J436" s="48">
        <v>435</v>
      </c>
      <c r="K436" s="48">
        <v>87</v>
      </c>
      <c r="L436" s="48"/>
      <c r="M436" s="49"/>
      <c r="N436" s="49"/>
      <c r="O436" s="49"/>
      <c r="P436" s="49"/>
      <c r="Q436" s="49"/>
      <c r="R436" s="49"/>
      <c r="S436" s="49"/>
      <c r="T436" s="49"/>
      <c r="U436" s="49"/>
      <c r="V436" s="41"/>
      <c r="W436" s="115">
        <v>22515792</v>
      </c>
      <c r="X436" s="115">
        <v>2300000</v>
      </c>
      <c r="Y436" s="115"/>
      <c r="Z436" s="115"/>
      <c r="AA436" s="115"/>
      <c r="AB436" s="115"/>
      <c r="AC436" s="113">
        <f t="shared" si="9"/>
        <v>24815792</v>
      </c>
      <c r="AD436" s="108" t="s">
        <v>171</v>
      </c>
    </row>
    <row r="437" spans="1:30" ht="14.25" thickBot="1" thickTop="1">
      <c r="A437" s="38">
        <v>35977</v>
      </c>
      <c r="B437" s="39" t="s">
        <v>574</v>
      </c>
      <c r="C437" s="40" t="s">
        <v>575</v>
      </c>
      <c r="D437" s="40" t="s">
        <v>821</v>
      </c>
      <c r="E437" s="48"/>
      <c r="F437" s="48"/>
      <c r="G437" s="48"/>
      <c r="H437" s="48">
        <v>9596</v>
      </c>
      <c r="I437" s="48">
        <v>210</v>
      </c>
      <c r="J437" s="48">
        <v>210</v>
      </c>
      <c r="K437" s="48">
        <v>50</v>
      </c>
      <c r="L437" s="48"/>
      <c r="M437" s="49"/>
      <c r="N437" s="49"/>
      <c r="O437" s="49"/>
      <c r="P437" s="49"/>
      <c r="Q437" s="49"/>
      <c r="R437" s="49"/>
      <c r="S437" s="49"/>
      <c r="T437" s="49"/>
      <c r="U437" s="49"/>
      <c r="V437" s="41"/>
      <c r="W437" s="115"/>
      <c r="X437" s="115">
        <v>4600000</v>
      </c>
      <c r="Y437" s="115"/>
      <c r="Z437" s="115"/>
      <c r="AA437" s="115"/>
      <c r="AB437" s="115"/>
      <c r="AC437" s="113">
        <f t="shared" si="9"/>
        <v>4600000</v>
      </c>
      <c r="AD437" s="108" t="s">
        <v>576</v>
      </c>
    </row>
    <row r="438" spans="1:30" ht="26.25" thickBot="1" thickTop="1">
      <c r="A438" s="38">
        <v>35997</v>
      </c>
      <c r="B438" s="39" t="s">
        <v>488</v>
      </c>
      <c r="C438" s="40" t="s">
        <v>578</v>
      </c>
      <c r="D438" s="40" t="s">
        <v>821</v>
      </c>
      <c r="E438" s="48"/>
      <c r="F438" s="48"/>
      <c r="G438" s="48"/>
      <c r="H438" s="48"/>
      <c r="I438" s="48"/>
      <c r="J438" s="48"/>
      <c r="K438" s="48"/>
      <c r="L438" s="48"/>
      <c r="M438" s="49"/>
      <c r="N438" s="49"/>
      <c r="O438" s="49"/>
      <c r="P438" s="49"/>
      <c r="Q438" s="49"/>
      <c r="R438" s="49"/>
      <c r="S438" s="49"/>
      <c r="T438" s="49"/>
      <c r="U438" s="49"/>
      <c r="V438" s="41"/>
      <c r="W438" s="115">
        <v>22413060.599999998</v>
      </c>
      <c r="X438" s="115">
        <v>4508000</v>
      </c>
      <c r="Y438" s="115"/>
      <c r="Z438" s="115"/>
      <c r="AA438" s="115"/>
      <c r="AB438" s="115"/>
      <c r="AC438" s="113">
        <f t="shared" si="9"/>
        <v>26921060.599999998</v>
      </c>
      <c r="AD438" s="108" t="s">
        <v>579</v>
      </c>
    </row>
    <row r="439" spans="1:30" ht="26.25" thickBot="1" thickTop="1">
      <c r="A439" s="38">
        <v>35997</v>
      </c>
      <c r="B439" s="39" t="s">
        <v>488</v>
      </c>
      <c r="C439" s="40" t="s">
        <v>577</v>
      </c>
      <c r="D439" s="40" t="s">
        <v>821</v>
      </c>
      <c r="E439" s="48"/>
      <c r="F439" s="48"/>
      <c r="G439" s="48"/>
      <c r="H439" s="48"/>
      <c r="I439" s="48"/>
      <c r="J439" s="48"/>
      <c r="K439" s="48"/>
      <c r="L439" s="48"/>
      <c r="M439" s="49"/>
      <c r="N439" s="49"/>
      <c r="O439" s="49"/>
      <c r="P439" s="49"/>
      <c r="Q439" s="49"/>
      <c r="R439" s="49"/>
      <c r="S439" s="49"/>
      <c r="T439" s="49"/>
      <c r="U439" s="49"/>
      <c r="V439" s="41"/>
      <c r="W439" s="115">
        <v>9148188</v>
      </c>
      <c r="X439" s="115">
        <v>1840000</v>
      </c>
      <c r="Y439" s="115"/>
      <c r="Z439" s="115"/>
      <c r="AA439" s="115"/>
      <c r="AB439" s="115"/>
      <c r="AC439" s="113">
        <f t="shared" si="9"/>
        <v>10988188</v>
      </c>
      <c r="AD439" s="108" t="s">
        <v>580</v>
      </c>
    </row>
    <row r="440" spans="1:30" ht="26.25" thickBot="1" thickTop="1">
      <c r="A440" s="38">
        <v>35971</v>
      </c>
      <c r="B440" s="39" t="s">
        <v>488</v>
      </c>
      <c r="C440" s="40" t="s">
        <v>875</v>
      </c>
      <c r="D440" s="40" t="s">
        <v>821</v>
      </c>
      <c r="E440" s="48"/>
      <c r="F440" s="48"/>
      <c r="G440" s="48"/>
      <c r="H440" s="48"/>
      <c r="I440" s="48">
        <v>2053</v>
      </c>
      <c r="J440" s="48">
        <v>2053</v>
      </c>
      <c r="K440" s="48">
        <v>365</v>
      </c>
      <c r="L440" s="48"/>
      <c r="M440" s="49"/>
      <c r="N440" s="49"/>
      <c r="O440" s="49"/>
      <c r="P440" s="49"/>
      <c r="Q440" s="49"/>
      <c r="R440" s="49"/>
      <c r="S440" s="49"/>
      <c r="T440" s="49"/>
      <c r="U440" s="49"/>
      <c r="V440" s="41"/>
      <c r="W440" s="115">
        <v>49892170</v>
      </c>
      <c r="X440" s="115">
        <v>13800000</v>
      </c>
      <c r="Y440" s="115"/>
      <c r="Z440" s="115"/>
      <c r="AA440" s="115"/>
      <c r="AB440" s="115"/>
      <c r="AC440" s="113">
        <f t="shared" si="9"/>
        <v>63692170</v>
      </c>
      <c r="AD440" s="108" t="s">
        <v>489</v>
      </c>
    </row>
    <row r="441" spans="1:30" ht="13.5" thickTop="1">
      <c r="A441" s="38">
        <v>36049</v>
      </c>
      <c r="B441" s="39" t="s">
        <v>488</v>
      </c>
      <c r="C441" s="40" t="s">
        <v>875</v>
      </c>
      <c r="D441" s="40" t="s">
        <v>821</v>
      </c>
      <c r="E441" s="48"/>
      <c r="F441" s="48"/>
      <c r="G441" s="48"/>
      <c r="H441" s="48"/>
      <c r="I441" s="48">
        <f>370*5</f>
        <v>1850</v>
      </c>
      <c r="J441" s="48">
        <f>370*5</f>
        <v>1850</v>
      </c>
      <c r="K441" s="48">
        <v>370</v>
      </c>
      <c r="L441" s="48"/>
      <c r="M441" s="49"/>
      <c r="N441" s="49"/>
      <c r="O441" s="49"/>
      <c r="P441" s="49"/>
      <c r="Q441" s="49"/>
      <c r="R441" s="49"/>
      <c r="S441" s="49"/>
      <c r="T441" s="49"/>
      <c r="U441" s="49"/>
      <c r="V441" s="41"/>
      <c r="W441" s="115">
        <v>92975771.9</v>
      </c>
      <c r="X441" s="115"/>
      <c r="Y441" s="115"/>
      <c r="Z441" s="115"/>
      <c r="AA441" s="115"/>
      <c r="AB441" s="115"/>
      <c r="AC441" s="113">
        <f t="shared" si="9"/>
        <v>92975771.9</v>
      </c>
      <c r="AD441" s="108"/>
    </row>
    <row r="442" spans="1:30" ht="13.5" thickBot="1">
      <c r="A442" s="68"/>
      <c r="B442" s="69"/>
      <c r="C442" s="70"/>
      <c r="D442" s="70"/>
      <c r="E442" s="50"/>
      <c r="F442" s="50"/>
      <c r="G442" s="50"/>
      <c r="H442" s="71"/>
      <c r="I442" s="71"/>
      <c r="J442" s="71"/>
      <c r="K442" s="71"/>
      <c r="L442" s="71"/>
      <c r="M442" s="72"/>
      <c r="N442" s="51"/>
      <c r="O442" s="51"/>
      <c r="P442" s="51"/>
      <c r="Q442" s="51"/>
      <c r="R442" s="51"/>
      <c r="S442" s="51"/>
      <c r="T442" s="51"/>
      <c r="U442" s="51"/>
      <c r="V442" s="30"/>
      <c r="W442" s="117"/>
      <c r="X442" s="118"/>
      <c r="Y442" s="118"/>
      <c r="Z442" s="117"/>
      <c r="AA442" s="117"/>
      <c r="AB442" s="117"/>
      <c r="AC442" s="119"/>
      <c r="AD442" s="109"/>
    </row>
    <row r="443" spans="1:29" ht="18.75" thickTop="1">
      <c r="A443" s="150" t="s">
        <v>907</v>
      </c>
      <c r="B443" s="151"/>
      <c r="C443" s="151"/>
      <c r="D443" s="151"/>
      <c r="E443" s="53">
        <f>SUM(E3:E442)</f>
        <v>119</v>
      </c>
      <c r="F443" s="53">
        <f>SUM(F3:F442)</f>
        <v>256</v>
      </c>
      <c r="G443" s="53">
        <f>SUM(G3:G442)</f>
        <v>48</v>
      </c>
      <c r="H443" s="53"/>
      <c r="I443" s="53">
        <f aca="true" t="shared" si="10" ref="I443:U443">SUM(I3:I442)</f>
        <v>258341</v>
      </c>
      <c r="J443" s="53">
        <f t="shared" si="10"/>
        <v>213952</v>
      </c>
      <c r="K443" s="53">
        <f t="shared" si="10"/>
        <v>51938</v>
      </c>
      <c r="L443" s="53">
        <f t="shared" si="10"/>
        <v>1950</v>
      </c>
      <c r="M443" s="53">
        <f t="shared" si="10"/>
        <v>9080</v>
      </c>
      <c r="N443" s="53">
        <f t="shared" si="10"/>
        <v>177</v>
      </c>
      <c r="O443" s="53">
        <f t="shared" si="10"/>
        <v>57</v>
      </c>
      <c r="P443" s="53">
        <f t="shared" si="10"/>
        <v>64</v>
      </c>
      <c r="Q443" s="53">
        <f t="shared" si="10"/>
        <v>131</v>
      </c>
      <c r="R443" s="53">
        <f t="shared" si="10"/>
        <v>7</v>
      </c>
      <c r="S443" s="53">
        <f t="shared" si="10"/>
        <v>3</v>
      </c>
      <c r="T443" s="53">
        <f t="shared" si="10"/>
        <v>119</v>
      </c>
      <c r="U443" s="53">
        <f t="shared" si="10"/>
        <v>36</v>
      </c>
      <c r="V443" s="54"/>
      <c r="W443" s="120">
        <f aca="true" t="shared" si="11" ref="W443:AC443">SUM(W3:W442)</f>
        <v>2344750377.04</v>
      </c>
      <c r="X443" s="120">
        <f t="shared" si="11"/>
        <v>934689797.3299999</v>
      </c>
      <c r="Y443" s="120">
        <f t="shared" si="11"/>
        <v>313238097.4399999</v>
      </c>
      <c r="Z443" s="120">
        <f t="shared" si="11"/>
        <v>110905280</v>
      </c>
      <c r="AA443" s="120">
        <f t="shared" si="11"/>
        <v>29703509</v>
      </c>
      <c r="AB443" s="120">
        <f t="shared" si="11"/>
        <v>128310000</v>
      </c>
      <c r="AC443" s="53">
        <f t="shared" si="11"/>
        <v>3861597060.8099976</v>
      </c>
    </row>
    <row r="444" spans="24:25" ht="12.75">
      <c r="X444" s="7"/>
      <c r="Y444" s="7"/>
    </row>
    <row r="445" spans="24:25" ht="12.75">
      <c r="X445" s="7"/>
      <c r="Y445" s="7"/>
    </row>
    <row r="446" spans="24:25" ht="12.75">
      <c r="X446" s="7"/>
      <c r="Y446" s="7"/>
    </row>
    <row r="447" spans="24:25" ht="12.75">
      <c r="X447" s="7"/>
      <c r="Y447" s="7"/>
    </row>
    <row r="448" spans="24:25" ht="12.75">
      <c r="X448" s="7"/>
      <c r="Y448" s="7"/>
    </row>
    <row r="449" spans="1:25" ht="12.75">
      <c r="A449" s="34"/>
      <c r="X449" s="7"/>
      <c r="Y449" s="7"/>
    </row>
    <row r="450" spans="24:25" ht="12.75">
      <c r="X450" s="7"/>
      <c r="Y450" s="7"/>
    </row>
    <row r="451" spans="24:25" ht="12.75">
      <c r="X451" s="7"/>
      <c r="Y451" s="7"/>
    </row>
    <row r="452" spans="24:25" ht="12.75">
      <c r="X452" s="7"/>
      <c r="Y452" s="7"/>
    </row>
    <row r="453" spans="24:25" ht="12.75">
      <c r="X453" s="7"/>
      <c r="Y453" s="7"/>
    </row>
    <row r="454" spans="24:25" ht="12.75">
      <c r="X454" s="7"/>
      <c r="Y454" s="7"/>
    </row>
    <row r="455" spans="24:25" ht="12.75">
      <c r="X455" s="7"/>
      <c r="Y455" s="7"/>
    </row>
    <row r="456" spans="24:25" ht="12.75">
      <c r="X456" s="7"/>
      <c r="Y456" s="7"/>
    </row>
    <row r="457" spans="24:25" ht="12.75">
      <c r="X457" s="7"/>
      <c r="Y457" s="7"/>
    </row>
    <row r="458" spans="24:25" ht="12.75">
      <c r="X458" s="7"/>
      <c r="Y458" s="7"/>
    </row>
    <row r="459" spans="24:25" ht="12.75">
      <c r="X459" s="7"/>
      <c r="Y459" s="7"/>
    </row>
    <row r="460" spans="24:25" ht="12.75">
      <c r="X460" s="7"/>
      <c r="Y460" s="7"/>
    </row>
    <row r="461" spans="24:25" ht="12.75">
      <c r="X461" s="7"/>
      <c r="Y461" s="7"/>
    </row>
    <row r="462" spans="24:25" ht="12.75">
      <c r="X462" s="7"/>
      <c r="Y462" s="7"/>
    </row>
    <row r="463" spans="24:25" ht="12.75">
      <c r="X463" s="7"/>
      <c r="Y463" s="7"/>
    </row>
    <row r="464" spans="24:25" ht="12.75">
      <c r="X464" s="7"/>
      <c r="Y464" s="7"/>
    </row>
    <row r="465" spans="24:25" ht="12.75">
      <c r="X465" s="7"/>
      <c r="Y465" s="7"/>
    </row>
    <row r="466" spans="24:25" ht="12.75">
      <c r="X466" s="7"/>
      <c r="Y466" s="7"/>
    </row>
    <row r="467" spans="24:25" ht="12.75">
      <c r="X467" s="7"/>
      <c r="Y467" s="7"/>
    </row>
    <row r="468" spans="24:25" ht="12.75">
      <c r="X468" s="7"/>
      <c r="Y468" s="7"/>
    </row>
    <row r="469" spans="24:25" ht="12.75">
      <c r="X469" s="7"/>
      <c r="Y469" s="7"/>
    </row>
    <row r="470" spans="24:25" ht="12.75">
      <c r="X470" s="7"/>
      <c r="Y470" s="7"/>
    </row>
    <row r="471" spans="24:25" ht="12.75">
      <c r="X471" s="7"/>
      <c r="Y471" s="7"/>
    </row>
    <row r="472" spans="24:25" ht="12.75">
      <c r="X472" s="7"/>
      <c r="Y472" s="7"/>
    </row>
    <row r="473" spans="24:25" ht="12.75">
      <c r="X473" s="7"/>
      <c r="Y473" s="7"/>
    </row>
    <row r="474" spans="24:25" ht="12.75">
      <c r="X474" s="7"/>
      <c r="Y474" s="7"/>
    </row>
    <row r="475" spans="24:25" ht="12.75">
      <c r="X475" s="7"/>
      <c r="Y475" s="7"/>
    </row>
    <row r="476" spans="24:25" ht="12.75">
      <c r="X476" s="7"/>
      <c r="Y476" s="7"/>
    </row>
    <row r="477" spans="24:25" ht="12.75">
      <c r="X477" s="7"/>
      <c r="Y477" s="7"/>
    </row>
    <row r="478" spans="24:25" ht="12.75">
      <c r="X478" s="7"/>
      <c r="Y478" s="7"/>
    </row>
    <row r="479" spans="24:25" ht="12.75">
      <c r="X479" s="7"/>
      <c r="Y479" s="7"/>
    </row>
    <row r="480" spans="24:25" ht="12.75">
      <c r="X480" s="7"/>
      <c r="Y480" s="7"/>
    </row>
    <row r="481" spans="24:25" ht="12.75">
      <c r="X481" s="7"/>
      <c r="Y481" s="7"/>
    </row>
    <row r="482" spans="24:25" ht="12.75">
      <c r="X482" s="7"/>
      <c r="Y482" s="7"/>
    </row>
    <row r="483" spans="24:25" ht="12.75">
      <c r="X483" s="7"/>
      <c r="Y483" s="7"/>
    </row>
    <row r="484" spans="24:25" ht="12.75">
      <c r="X484" s="7"/>
      <c r="Y484" s="7"/>
    </row>
    <row r="485" spans="24:25" ht="12.75">
      <c r="X485" s="7"/>
      <c r="Y485" s="7"/>
    </row>
    <row r="486" spans="24:25" ht="12.75">
      <c r="X486" s="7"/>
      <c r="Y486" s="7"/>
    </row>
    <row r="487" spans="24:25" ht="12.75">
      <c r="X487" s="7"/>
      <c r="Y487" s="7"/>
    </row>
    <row r="488" spans="24:25" ht="12.75">
      <c r="X488" s="7"/>
      <c r="Y488" s="7"/>
    </row>
    <row r="489" spans="24:25" ht="12.75">
      <c r="X489" s="7"/>
      <c r="Y489" s="7"/>
    </row>
    <row r="490" spans="24:25" ht="12.75">
      <c r="X490" s="7"/>
      <c r="Y490" s="7"/>
    </row>
    <row r="491" spans="24:25" ht="12.75">
      <c r="X491" s="7"/>
      <c r="Y491" s="7"/>
    </row>
    <row r="492" spans="24:25" ht="12.75">
      <c r="X492" s="7"/>
      <c r="Y492" s="7"/>
    </row>
    <row r="493" spans="24:25" ht="12.75">
      <c r="X493" s="7"/>
      <c r="Y493" s="7"/>
    </row>
    <row r="494" spans="24:25" ht="12.75">
      <c r="X494" s="7"/>
      <c r="Y494" s="7"/>
    </row>
    <row r="495" spans="24:25" ht="12.75">
      <c r="X495" s="7"/>
      <c r="Y495" s="7"/>
    </row>
    <row r="496" spans="24:25" ht="12.75">
      <c r="X496" s="7"/>
      <c r="Y496" s="7"/>
    </row>
    <row r="497" spans="24:25" ht="12.75">
      <c r="X497" s="7"/>
      <c r="Y497" s="7"/>
    </row>
    <row r="498" spans="24:25" ht="12.75">
      <c r="X498" s="7"/>
      <c r="Y498" s="7"/>
    </row>
    <row r="499" spans="24:25" ht="12.75">
      <c r="X499" s="7"/>
      <c r="Y499" s="7"/>
    </row>
    <row r="500" spans="24:25" ht="12.75">
      <c r="X500" s="7"/>
      <c r="Y500" s="7"/>
    </row>
    <row r="501" spans="24:25" ht="12.75">
      <c r="X501" s="7"/>
      <c r="Y501" s="7"/>
    </row>
    <row r="502" spans="24:25" ht="12.75">
      <c r="X502" s="7"/>
      <c r="Y502" s="7"/>
    </row>
    <row r="503" spans="24:25" ht="12.75">
      <c r="X503" s="7"/>
      <c r="Y503" s="7"/>
    </row>
    <row r="504" spans="24:25" ht="12.75">
      <c r="X504" s="7"/>
      <c r="Y504" s="7"/>
    </row>
    <row r="505" spans="24:25" ht="12.75">
      <c r="X505" s="7"/>
      <c r="Y505" s="7"/>
    </row>
    <row r="506" spans="24:25" ht="12.75">
      <c r="X506" s="7"/>
      <c r="Y506" s="7"/>
    </row>
    <row r="507" spans="24:25" ht="12.75">
      <c r="X507" s="7"/>
      <c r="Y507" s="7"/>
    </row>
    <row r="508" spans="24:25" ht="12.75">
      <c r="X508" s="7"/>
      <c r="Y508" s="7"/>
    </row>
    <row r="509" spans="24:25" ht="12.75">
      <c r="X509" s="7"/>
      <c r="Y509" s="7"/>
    </row>
    <row r="510" spans="24:25" ht="12.75">
      <c r="X510" s="7"/>
      <c r="Y510" s="7"/>
    </row>
    <row r="511" spans="24:25" ht="12.75">
      <c r="X511" s="3"/>
      <c r="Y511" s="3"/>
    </row>
    <row r="512" spans="24:25" ht="12.75">
      <c r="X512" s="3"/>
      <c r="Y512" s="3"/>
    </row>
    <row r="513" spans="24:25" ht="12.75">
      <c r="X513" s="3"/>
      <c r="Y513" s="3"/>
    </row>
    <row r="514" spans="24:25" ht="12.75">
      <c r="X514" s="3"/>
      <c r="Y514" s="3"/>
    </row>
    <row r="515" spans="24:25" ht="12.75">
      <c r="X515" s="3"/>
      <c r="Y515" s="3"/>
    </row>
    <row r="516" spans="24:25" ht="12.75">
      <c r="X516" s="3"/>
      <c r="Y516" s="3"/>
    </row>
    <row r="517" spans="24:25" ht="12.75">
      <c r="X517" s="3"/>
      <c r="Y517" s="3"/>
    </row>
    <row r="518" spans="24:25" ht="12.75">
      <c r="X518" s="3"/>
      <c r="Y518" s="3"/>
    </row>
    <row r="519" spans="24:25" ht="12.75">
      <c r="X519" s="3"/>
      <c r="Y519" s="3"/>
    </row>
    <row r="520" spans="24:25" ht="12.75">
      <c r="X520" s="3"/>
      <c r="Y520" s="3"/>
    </row>
    <row r="521" spans="24:25" ht="12.75">
      <c r="X521" s="3"/>
      <c r="Y521" s="3"/>
    </row>
    <row r="522" spans="24:25" ht="12.75">
      <c r="X522" s="3"/>
      <c r="Y522" s="3"/>
    </row>
    <row r="523" spans="24:25" ht="12.75">
      <c r="X523" s="3"/>
      <c r="Y523" s="3"/>
    </row>
    <row r="524" spans="24:25" ht="12.75">
      <c r="X524" s="3"/>
      <c r="Y524" s="3"/>
    </row>
    <row r="525" spans="24:25" ht="12.75">
      <c r="X525" s="3"/>
      <c r="Y525" s="3"/>
    </row>
    <row r="526" spans="24:25" ht="12.75">
      <c r="X526" s="3"/>
      <c r="Y526" s="3"/>
    </row>
    <row r="527" spans="24:25" ht="12.75">
      <c r="X527" s="3"/>
      <c r="Y527" s="3"/>
    </row>
    <row r="528" spans="24:25" ht="12.75">
      <c r="X528" s="3"/>
      <c r="Y528" s="3"/>
    </row>
    <row r="529" spans="24:25" ht="12.75">
      <c r="X529" s="3"/>
      <c r="Y529" s="3"/>
    </row>
    <row r="530" spans="24:25" ht="12.75">
      <c r="X530" s="3"/>
      <c r="Y530" s="3"/>
    </row>
    <row r="531" spans="24:25" ht="12.75">
      <c r="X531" s="3"/>
      <c r="Y531" s="3"/>
    </row>
    <row r="532" spans="24:25" ht="12.75">
      <c r="X532" s="3"/>
      <c r="Y532" s="3"/>
    </row>
    <row r="533" spans="24:25" ht="12.75">
      <c r="X533" s="3"/>
      <c r="Y533" s="3"/>
    </row>
    <row r="534" spans="24:25" ht="12.75">
      <c r="X534" s="3"/>
      <c r="Y534" s="3"/>
    </row>
    <row r="535" spans="24:25" ht="12.75">
      <c r="X535" s="3"/>
      <c r="Y535" s="3"/>
    </row>
    <row r="536" spans="24:25" ht="12.75">
      <c r="X536" s="3"/>
      <c r="Y536" s="3"/>
    </row>
    <row r="537" spans="24:25" ht="12.75">
      <c r="X537" s="3"/>
      <c r="Y537" s="3"/>
    </row>
    <row r="538" spans="24:25" ht="12.75">
      <c r="X538" s="3"/>
      <c r="Y538" s="3"/>
    </row>
    <row r="539" spans="24:25" ht="12.75">
      <c r="X539" s="3"/>
      <c r="Y539" s="3"/>
    </row>
    <row r="540" spans="24:25" ht="12.75">
      <c r="X540" s="3"/>
      <c r="Y540" s="3"/>
    </row>
    <row r="541" spans="24:25" ht="12.75">
      <c r="X541" s="3"/>
      <c r="Y541" s="3"/>
    </row>
    <row r="542" spans="24:25" ht="12.75">
      <c r="X542" s="3"/>
      <c r="Y542" s="3"/>
    </row>
    <row r="543" spans="24:25" ht="12.75">
      <c r="X543" s="3"/>
      <c r="Y543" s="3"/>
    </row>
    <row r="544" spans="24:25" ht="12.75">
      <c r="X544" s="3"/>
      <c r="Y544" s="3"/>
    </row>
    <row r="545" spans="24:25" ht="12.75">
      <c r="X545" s="3"/>
      <c r="Y545" s="3"/>
    </row>
    <row r="546" spans="24:25" ht="12.75">
      <c r="X546" s="3"/>
      <c r="Y546" s="3"/>
    </row>
    <row r="547" spans="24:25" ht="12.75">
      <c r="X547" s="3"/>
      <c r="Y547" s="3"/>
    </row>
    <row r="548" spans="24:25" ht="12.75">
      <c r="X548" s="3"/>
      <c r="Y548" s="3"/>
    </row>
    <row r="549" spans="24:25" ht="12.75">
      <c r="X549" s="3"/>
      <c r="Y549" s="3"/>
    </row>
    <row r="550" spans="24:25" ht="12.75">
      <c r="X550" s="3"/>
      <c r="Y550" s="3"/>
    </row>
    <row r="551" spans="24:25" ht="12.75">
      <c r="X551" s="3"/>
      <c r="Y551" s="3"/>
    </row>
    <row r="552" spans="24:25" ht="12.75">
      <c r="X552" s="3"/>
      <c r="Y552" s="3"/>
    </row>
    <row r="553" spans="24:25" ht="12.75">
      <c r="X553" s="3"/>
      <c r="Y553" s="3"/>
    </row>
    <row r="554" spans="24:25" ht="12.75">
      <c r="X554" s="3"/>
      <c r="Y554" s="3"/>
    </row>
    <row r="555" spans="24:25" ht="12.75">
      <c r="X555" s="3"/>
      <c r="Y555" s="3"/>
    </row>
    <row r="556" spans="24:25" ht="12.75">
      <c r="X556" s="3"/>
      <c r="Y556" s="3"/>
    </row>
    <row r="557" spans="24:25" ht="12.75">
      <c r="X557" s="3"/>
      <c r="Y557" s="3"/>
    </row>
    <row r="558" spans="24:25" ht="12.75">
      <c r="X558" s="3"/>
      <c r="Y558" s="3"/>
    </row>
    <row r="559" spans="24:25" ht="12.75">
      <c r="X559" s="3"/>
      <c r="Y559" s="3"/>
    </row>
    <row r="560" spans="24:25" ht="12.75">
      <c r="X560" s="3"/>
      <c r="Y560" s="3"/>
    </row>
    <row r="561" spans="24:25" ht="12.75">
      <c r="X561" s="3"/>
      <c r="Y561" s="3"/>
    </row>
    <row r="562" spans="24:25" ht="12.75">
      <c r="X562" s="3"/>
      <c r="Y562" s="3"/>
    </row>
    <row r="563" spans="24:25" ht="12.75">
      <c r="X563" s="3"/>
      <c r="Y563" s="3"/>
    </row>
    <row r="564" spans="24:25" ht="12.75">
      <c r="X564" s="3"/>
      <c r="Y564" s="3"/>
    </row>
    <row r="565" spans="24:25" ht="12.75">
      <c r="X565" s="3"/>
      <c r="Y565" s="3"/>
    </row>
    <row r="566" spans="24:25" ht="12.75">
      <c r="X566" s="3"/>
      <c r="Y566" s="3"/>
    </row>
    <row r="567" spans="24:25" ht="12.75">
      <c r="X567" s="3"/>
      <c r="Y567" s="3"/>
    </row>
    <row r="568" spans="24:25" ht="12.75">
      <c r="X568" s="3"/>
      <c r="Y568" s="3"/>
    </row>
    <row r="569" spans="24:25" ht="12.75">
      <c r="X569" s="3"/>
      <c r="Y569" s="3"/>
    </row>
    <row r="570" spans="24:25" ht="12.75">
      <c r="X570" s="3"/>
      <c r="Y570" s="3"/>
    </row>
    <row r="571" spans="24:25" ht="12.75">
      <c r="X571" s="3"/>
      <c r="Y571" s="3"/>
    </row>
    <row r="572" spans="24:25" ht="12.75">
      <c r="X572" s="3"/>
      <c r="Y572" s="3"/>
    </row>
    <row r="573" spans="24:25" ht="12.75">
      <c r="X573" s="3"/>
      <c r="Y573" s="3"/>
    </row>
    <row r="574" spans="24:25" ht="12.75">
      <c r="X574" s="3"/>
      <c r="Y574" s="3"/>
    </row>
    <row r="575" spans="24:25" ht="12.75">
      <c r="X575" s="3"/>
      <c r="Y575" s="3"/>
    </row>
    <row r="576" spans="24:25" ht="12.75">
      <c r="X576" s="3"/>
      <c r="Y576" s="3"/>
    </row>
    <row r="577" spans="24:25" ht="12.75">
      <c r="X577" s="3"/>
      <c r="Y577" s="3"/>
    </row>
    <row r="578" spans="24:25" ht="12.75">
      <c r="X578" s="3"/>
      <c r="Y578" s="3"/>
    </row>
    <row r="579" spans="24:25" ht="12.75">
      <c r="X579" s="3"/>
      <c r="Y579" s="3"/>
    </row>
    <row r="580" spans="24:25" ht="12.75">
      <c r="X580" s="3"/>
      <c r="Y580" s="3"/>
    </row>
    <row r="581" spans="24:25" ht="12.75">
      <c r="X581" s="3"/>
      <c r="Y581" s="3"/>
    </row>
    <row r="582" spans="24:25" ht="12.75">
      <c r="X582" s="3"/>
      <c r="Y582" s="3"/>
    </row>
    <row r="583" spans="24:25" ht="12.75">
      <c r="X583" s="3"/>
      <c r="Y583" s="3"/>
    </row>
    <row r="584" spans="24:25" ht="12.75">
      <c r="X584" s="3"/>
      <c r="Y584" s="3"/>
    </row>
    <row r="585" spans="24:25" ht="12.75">
      <c r="X585" s="3"/>
      <c r="Y585" s="3"/>
    </row>
    <row r="586" spans="24:25" ht="12.75">
      <c r="X586" s="3"/>
      <c r="Y586" s="3"/>
    </row>
    <row r="587" spans="24:25" ht="12.75">
      <c r="X587" s="3"/>
      <c r="Y587" s="3"/>
    </row>
    <row r="588" spans="24:25" ht="12.75">
      <c r="X588" s="3"/>
      <c r="Y588" s="3"/>
    </row>
    <row r="589" spans="24:25" ht="12.75">
      <c r="X589" s="3"/>
      <c r="Y589" s="3"/>
    </row>
    <row r="590" spans="24:25" ht="12.75">
      <c r="X590" s="3"/>
      <c r="Y590" s="3"/>
    </row>
    <row r="591" spans="24:25" ht="12.75">
      <c r="X591" s="3"/>
      <c r="Y591" s="3"/>
    </row>
    <row r="592" spans="24:25" ht="12.75">
      <c r="X592" s="3"/>
      <c r="Y592" s="3"/>
    </row>
    <row r="593" spans="24:25" ht="12.75">
      <c r="X593" s="3"/>
      <c r="Y593" s="3"/>
    </row>
    <row r="594" spans="24:25" ht="12.75">
      <c r="X594" s="3"/>
      <c r="Y594" s="3"/>
    </row>
    <row r="595" spans="24:25" ht="12.75">
      <c r="X595" s="3"/>
      <c r="Y595" s="3"/>
    </row>
    <row r="596" spans="24:25" ht="12.75">
      <c r="X596" s="3"/>
      <c r="Y596" s="3"/>
    </row>
    <row r="597" spans="24:25" ht="12.75">
      <c r="X597" s="3"/>
      <c r="Y597" s="3"/>
    </row>
    <row r="598" spans="24:25" ht="12.75">
      <c r="X598" s="3"/>
      <c r="Y598" s="3"/>
    </row>
    <row r="599" spans="24:25" ht="12.75">
      <c r="X599" s="3"/>
      <c r="Y599" s="3"/>
    </row>
    <row r="600" spans="24:25" ht="12.75">
      <c r="X600" s="3"/>
      <c r="Y600" s="3"/>
    </row>
    <row r="601" spans="24:25" ht="12.75">
      <c r="X601" s="3"/>
      <c r="Y601" s="3"/>
    </row>
    <row r="602" spans="24:25" ht="12.75">
      <c r="X602" s="3"/>
      <c r="Y602" s="3"/>
    </row>
    <row r="603" spans="24:25" ht="12.75">
      <c r="X603" s="3"/>
      <c r="Y603" s="3"/>
    </row>
    <row r="604" spans="24:25" ht="12.75">
      <c r="X604" s="3"/>
      <c r="Y604" s="3"/>
    </row>
    <row r="605" spans="24:25" ht="12.75">
      <c r="X605" s="3"/>
      <c r="Y605" s="3"/>
    </row>
    <row r="606" spans="24:25" ht="12.75">
      <c r="X606" s="3"/>
      <c r="Y606" s="3"/>
    </row>
    <row r="607" spans="24:25" ht="12.75">
      <c r="X607" s="3"/>
      <c r="Y607" s="3"/>
    </row>
    <row r="608" spans="24:25" ht="12.75">
      <c r="X608" s="3"/>
      <c r="Y608" s="3"/>
    </row>
    <row r="609" spans="24:25" ht="12.75">
      <c r="X609" s="3"/>
      <c r="Y609" s="3"/>
    </row>
    <row r="610" spans="24:25" ht="12.75">
      <c r="X610" s="3"/>
      <c r="Y610" s="3"/>
    </row>
    <row r="611" spans="24:25" ht="12.75">
      <c r="X611" s="3"/>
      <c r="Y611" s="3"/>
    </row>
    <row r="612" spans="24:25" ht="12.75">
      <c r="X612" s="3"/>
      <c r="Y612" s="3"/>
    </row>
    <row r="613" spans="24:25" ht="12.75">
      <c r="X613" s="3"/>
      <c r="Y613" s="3"/>
    </row>
    <row r="614" spans="24:25" ht="12.75">
      <c r="X614" s="3"/>
      <c r="Y614" s="3"/>
    </row>
    <row r="615" spans="24:25" ht="12.75">
      <c r="X615" s="3"/>
      <c r="Y615" s="3"/>
    </row>
    <row r="616" spans="24:25" ht="12.75">
      <c r="X616" s="3"/>
      <c r="Y616" s="3"/>
    </row>
    <row r="617" spans="24:25" ht="12.75">
      <c r="X617" s="3"/>
      <c r="Y617" s="3"/>
    </row>
    <row r="618" spans="24:25" ht="12.75">
      <c r="X618" s="3"/>
      <c r="Y618" s="3"/>
    </row>
    <row r="619" spans="24:25" ht="12.75">
      <c r="X619" s="3"/>
      <c r="Y619" s="3"/>
    </row>
    <row r="620" spans="24:25" ht="12.75">
      <c r="X620" s="3"/>
      <c r="Y620" s="3"/>
    </row>
    <row r="621" spans="24:25" ht="12.75">
      <c r="X621" s="3"/>
      <c r="Y621" s="3"/>
    </row>
    <row r="622" spans="24:25" ht="12.75">
      <c r="X622" s="3"/>
      <c r="Y622" s="3"/>
    </row>
    <row r="623" spans="24:25" ht="12.75">
      <c r="X623" s="3"/>
      <c r="Y623" s="3"/>
    </row>
    <row r="624" spans="24:25" ht="12.75">
      <c r="X624" s="3"/>
      <c r="Y624" s="3"/>
    </row>
    <row r="625" spans="24:25" ht="12.75">
      <c r="X625" s="3"/>
      <c r="Y625" s="3"/>
    </row>
    <row r="626" spans="24:25" ht="12.75">
      <c r="X626" s="3"/>
      <c r="Y626" s="3"/>
    </row>
    <row r="627" spans="24:25" ht="12.75">
      <c r="X627" s="3"/>
      <c r="Y627" s="3"/>
    </row>
    <row r="628" spans="24:25" ht="12.75">
      <c r="X628" s="3"/>
      <c r="Y628" s="3"/>
    </row>
    <row r="629" spans="24:25" ht="12.75">
      <c r="X629" s="3"/>
      <c r="Y629" s="3"/>
    </row>
    <row r="630" spans="24:25" ht="12.75">
      <c r="X630" s="3"/>
      <c r="Y630" s="3"/>
    </row>
    <row r="631" spans="24:25" ht="12.75">
      <c r="X631" s="3"/>
      <c r="Y631" s="3"/>
    </row>
    <row r="632" spans="24:25" ht="12.75">
      <c r="X632" s="3"/>
      <c r="Y632" s="3"/>
    </row>
    <row r="633" spans="24:25" ht="12.75">
      <c r="X633" s="3"/>
      <c r="Y633" s="3"/>
    </row>
    <row r="634" spans="24:25" ht="12.75">
      <c r="X634" s="3"/>
      <c r="Y634" s="3"/>
    </row>
    <row r="635" spans="24:25" ht="12.75">
      <c r="X635" s="3"/>
      <c r="Y635" s="3"/>
    </row>
    <row r="636" spans="24:25" ht="12.75">
      <c r="X636" s="3"/>
      <c r="Y636" s="3"/>
    </row>
    <row r="637" spans="24:25" ht="12.75">
      <c r="X637" s="3"/>
      <c r="Y637" s="3"/>
    </row>
    <row r="638" spans="24:25" ht="12.75">
      <c r="X638" s="3"/>
      <c r="Y638" s="3"/>
    </row>
    <row r="639" spans="24:25" ht="12.75">
      <c r="X639" s="3"/>
      <c r="Y639" s="3"/>
    </row>
    <row r="640" spans="24:25" ht="12.75">
      <c r="X640" s="3"/>
      <c r="Y640" s="3"/>
    </row>
    <row r="641" spans="24:25" ht="12.75">
      <c r="X641" s="3"/>
      <c r="Y641" s="3"/>
    </row>
    <row r="642" spans="24:25" ht="12.75">
      <c r="X642" s="3"/>
      <c r="Y642" s="3"/>
    </row>
    <row r="643" spans="24:25" ht="12.75">
      <c r="X643" s="3"/>
      <c r="Y643" s="3"/>
    </row>
    <row r="644" spans="24:25" ht="12.75">
      <c r="X644" s="3"/>
      <c r="Y644" s="3"/>
    </row>
    <row r="645" spans="24:25" ht="12.75">
      <c r="X645" s="3"/>
      <c r="Y645" s="3"/>
    </row>
    <row r="646" spans="24:25" ht="12.75">
      <c r="X646" s="3"/>
      <c r="Y646" s="3"/>
    </row>
    <row r="647" spans="24:25" ht="12.75">
      <c r="X647" s="3"/>
      <c r="Y647" s="3"/>
    </row>
    <row r="648" spans="24:25" ht="12.75">
      <c r="X648" s="3"/>
      <c r="Y648" s="3"/>
    </row>
    <row r="649" spans="24:25" ht="12.75">
      <c r="X649" s="3"/>
      <c r="Y649" s="3"/>
    </row>
    <row r="650" spans="24:25" ht="12.75">
      <c r="X650" s="3"/>
      <c r="Y650" s="3"/>
    </row>
    <row r="651" spans="24:25" ht="12.75">
      <c r="X651" s="3"/>
      <c r="Y651" s="3"/>
    </row>
    <row r="652" spans="24:25" ht="12.75">
      <c r="X652" s="3"/>
      <c r="Y652" s="3"/>
    </row>
    <row r="653" spans="24:25" ht="12.75">
      <c r="X653" s="3"/>
      <c r="Y653" s="3"/>
    </row>
    <row r="654" spans="24:25" ht="12.75">
      <c r="X654" s="3"/>
      <c r="Y654" s="3"/>
    </row>
    <row r="655" spans="24:25" ht="12.75">
      <c r="X655" s="3"/>
      <c r="Y655" s="3"/>
    </row>
    <row r="656" spans="24:25" ht="12.75">
      <c r="X656" s="3"/>
      <c r="Y656" s="3"/>
    </row>
    <row r="657" spans="24:25" ht="12.75">
      <c r="X657" s="3"/>
      <c r="Y657" s="3"/>
    </row>
    <row r="658" spans="24:25" ht="12.75">
      <c r="X658" s="3"/>
      <c r="Y658" s="3"/>
    </row>
    <row r="659" spans="24:25" ht="12.75">
      <c r="X659" s="3"/>
      <c r="Y659" s="3"/>
    </row>
    <row r="660" spans="24:25" ht="12.75">
      <c r="X660" s="3"/>
      <c r="Y660" s="3"/>
    </row>
    <row r="661" spans="24:25" ht="12.75">
      <c r="X661" s="3"/>
      <c r="Y661" s="3"/>
    </row>
    <row r="662" spans="24:25" ht="12.75">
      <c r="X662" s="3"/>
      <c r="Y662" s="3"/>
    </row>
    <row r="663" spans="24:25" ht="12.75">
      <c r="X663" s="3"/>
      <c r="Y663" s="3"/>
    </row>
    <row r="664" spans="24:25" ht="12.75">
      <c r="X664" s="3"/>
      <c r="Y664" s="3"/>
    </row>
    <row r="665" spans="24:25" ht="12.75">
      <c r="X665" s="3"/>
      <c r="Y665" s="3"/>
    </row>
    <row r="666" spans="24:25" ht="12.75">
      <c r="X666" s="3"/>
      <c r="Y666" s="3"/>
    </row>
    <row r="667" spans="24:25" ht="12.75">
      <c r="X667" s="3"/>
      <c r="Y667" s="3"/>
    </row>
    <row r="668" spans="24:25" ht="12.75">
      <c r="X668" s="3"/>
      <c r="Y668" s="3"/>
    </row>
    <row r="669" spans="24:25" ht="12.75">
      <c r="X669" s="3"/>
      <c r="Y669" s="3"/>
    </row>
    <row r="670" spans="24:25" ht="12.75">
      <c r="X670" s="3"/>
      <c r="Y670" s="3"/>
    </row>
    <row r="671" spans="24:25" ht="12.75">
      <c r="X671" s="3"/>
      <c r="Y671" s="3"/>
    </row>
    <row r="672" spans="24:25" ht="12.75">
      <c r="X672" s="3"/>
      <c r="Y672" s="3"/>
    </row>
    <row r="673" spans="24:25" ht="12.75">
      <c r="X673" s="3"/>
      <c r="Y673" s="3"/>
    </row>
    <row r="674" spans="24:25" ht="12.75">
      <c r="X674" s="3"/>
      <c r="Y674" s="3"/>
    </row>
    <row r="675" spans="24:25" ht="12.75">
      <c r="X675" s="3"/>
      <c r="Y675" s="3"/>
    </row>
    <row r="676" spans="24:25" ht="12.75">
      <c r="X676" s="3"/>
      <c r="Y676" s="3"/>
    </row>
    <row r="677" spans="24:25" ht="12.75">
      <c r="X677" s="3"/>
      <c r="Y677" s="3"/>
    </row>
    <row r="678" spans="24:25" ht="12.75">
      <c r="X678" s="3"/>
      <c r="Y678" s="3"/>
    </row>
    <row r="679" spans="24:25" ht="12.75">
      <c r="X679" s="3"/>
      <c r="Y679" s="3"/>
    </row>
    <row r="680" spans="24:25" ht="12.75">
      <c r="X680" s="3"/>
      <c r="Y680" s="3"/>
    </row>
    <row r="681" spans="24:25" ht="12.75">
      <c r="X681" s="3"/>
      <c r="Y681" s="3"/>
    </row>
    <row r="682" spans="24:25" ht="12.75">
      <c r="X682" s="3"/>
      <c r="Y682" s="3"/>
    </row>
    <row r="683" spans="24:25" ht="12.75">
      <c r="X683" s="3"/>
      <c r="Y683" s="3"/>
    </row>
    <row r="684" spans="24:25" ht="12.75">
      <c r="X684" s="3"/>
      <c r="Y684" s="3"/>
    </row>
    <row r="685" spans="24:25" ht="12.75">
      <c r="X685" s="3"/>
      <c r="Y685" s="3"/>
    </row>
    <row r="686" spans="24:25" ht="12.75">
      <c r="X686" s="3"/>
      <c r="Y686" s="3"/>
    </row>
    <row r="687" spans="24:25" ht="12.75">
      <c r="X687" s="3"/>
      <c r="Y687" s="3"/>
    </row>
    <row r="688" spans="24:25" ht="12.75">
      <c r="X688" s="3"/>
      <c r="Y688" s="3"/>
    </row>
    <row r="689" spans="24:25" ht="12.75">
      <c r="X689" s="3"/>
      <c r="Y689" s="3"/>
    </row>
    <row r="690" spans="24:25" ht="12.75">
      <c r="X690" s="3"/>
      <c r="Y690" s="3"/>
    </row>
    <row r="691" spans="24:25" ht="12.75">
      <c r="X691" s="3"/>
      <c r="Y691" s="3"/>
    </row>
    <row r="692" spans="24:25" ht="12.75">
      <c r="X692" s="3"/>
      <c r="Y692" s="3"/>
    </row>
    <row r="693" spans="24:25" ht="12.75">
      <c r="X693" s="3"/>
      <c r="Y693" s="3"/>
    </row>
    <row r="694" spans="24:25" ht="12.75">
      <c r="X694" s="3"/>
      <c r="Y694" s="3"/>
    </row>
    <row r="695" spans="24:25" ht="12.75">
      <c r="X695" s="3"/>
      <c r="Y695" s="3"/>
    </row>
    <row r="696" spans="24:25" ht="12.75">
      <c r="X696" s="3"/>
      <c r="Y696" s="3"/>
    </row>
    <row r="697" spans="24:25" ht="12.75">
      <c r="X697" s="3"/>
      <c r="Y697" s="3"/>
    </row>
    <row r="698" spans="24:25" ht="12.75">
      <c r="X698" s="3"/>
      <c r="Y698" s="3"/>
    </row>
    <row r="699" spans="24:25" ht="12.75">
      <c r="X699" s="3"/>
      <c r="Y699" s="3"/>
    </row>
    <row r="700" spans="24:25" ht="12.75">
      <c r="X700" s="3"/>
      <c r="Y700" s="3"/>
    </row>
    <row r="701" spans="24:25" ht="12.75">
      <c r="X701" s="3"/>
      <c r="Y701" s="3"/>
    </row>
    <row r="702" spans="24:25" ht="12.75">
      <c r="X702" s="3"/>
      <c r="Y702" s="3"/>
    </row>
    <row r="703" spans="24:25" ht="12.75">
      <c r="X703" s="3"/>
      <c r="Y703" s="3"/>
    </row>
    <row r="704" spans="24:25" ht="12.75">
      <c r="X704" s="3"/>
      <c r="Y704" s="3"/>
    </row>
    <row r="705" spans="24:25" ht="12.75">
      <c r="X705" s="3"/>
      <c r="Y705" s="3"/>
    </row>
    <row r="706" spans="24:25" ht="12.75">
      <c r="X706" s="3"/>
      <c r="Y706" s="3"/>
    </row>
    <row r="707" spans="24:25" ht="12.75">
      <c r="X707" s="3"/>
      <c r="Y707" s="3"/>
    </row>
    <row r="708" spans="24:25" ht="12.75">
      <c r="X708" s="3"/>
      <c r="Y708" s="3"/>
    </row>
    <row r="709" spans="24:25" ht="12.75">
      <c r="X709" s="3"/>
      <c r="Y709" s="3"/>
    </row>
    <row r="710" spans="24:25" ht="12.75">
      <c r="X710" s="3"/>
      <c r="Y710" s="3"/>
    </row>
    <row r="711" spans="24:25" ht="12.75">
      <c r="X711" s="3"/>
      <c r="Y711" s="3"/>
    </row>
    <row r="712" spans="24:25" ht="12.75">
      <c r="X712" s="3"/>
      <c r="Y712" s="3"/>
    </row>
    <row r="713" spans="24:25" ht="12.75">
      <c r="X713" s="3"/>
      <c r="Y713" s="3"/>
    </row>
    <row r="714" spans="24:25" ht="12.75">
      <c r="X714" s="3"/>
      <c r="Y714" s="3"/>
    </row>
    <row r="715" spans="24:25" ht="12.75">
      <c r="X715" s="3"/>
      <c r="Y715" s="3"/>
    </row>
    <row r="716" spans="24:25" ht="12.75">
      <c r="X716" s="3"/>
      <c r="Y716" s="3"/>
    </row>
    <row r="717" spans="24:25" ht="12.75">
      <c r="X717" s="3"/>
      <c r="Y717" s="3"/>
    </row>
    <row r="718" spans="24:25" ht="12.75">
      <c r="X718" s="3"/>
      <c r="Y718" s="3"/>
    </row>
    <row r="719" spans="24:25" ht="12.75">
      <c r="X719" s="3"/>
      <c r="Y719" s="3"/>
    </row>
    <row r="720" spans="24:25" ht="12.75">
      <c r="X720" s="3"/>
      <c r="Y720" s="3"/>
    </row>
    <row r="721" spans="24:25" ht="12.75">
      <c r="X721" s="3"/>
      <c r="Y721" s="3"/>
    </row>
    <row r="722" spans="24:25" ht="12.75">
      <c r="X722" s="3"/>
      <c r="Y722" s="3"/>
    </row>
    <row r="723" spans="24:25" ht="12.75">
      <c r="X723" s="3"/>
      <c r="Y723" s="3"/>
    </row>
    <row r="724" spans="24:25" ht="12.75">
      <c r="X724" s="3"/>
      <c r="Y724" s="3"/>
    </row>
    <row r="725" spans="24:25" ht="12.75">
      <c r="X725" s="3"/>
      <c r="Y725" s="3"/>
    </row>
    <row r="726" spans="24:25" ht="12.75">
      <c r="X726" s="3"/>
      <c r="Y726" s="3"/>
    </row>
    <row r="727" spans="24:25" ht="12.75">
      <c r="X727" s="3"/>
      <c r="Y727" s="3"/>
    </row>
    <row r="728" spans="24:25" ht="12.75">
      <c r="X728" s="3"/>
      <c r="Y728" s="3"/>
    </row>
    <row r="729" spans="24:25" ht="12.75">
      <c r="X729" s="3"/>
      <c r="Y729" s="3"/>
    </row>
    <row r="730" spans="24:25" ht="12.75">
      <c r="X730" s="3"/>
      <c r="Y730" s="3"/>
    </row>
    <row r="731" spans="24:25" ht="12.75">
      <c r="X731" s="3"/>
      <c r="Y731" s="3"/>
    </row>
    <row r="732" spans="24:25" ht="12.75">
      <c r="X732" s="3"/>
      <c r="Y732" s="3"/>
    </row>
    <row r="733" spans="24:25" ht="12.75">
      <c r="X733" s="3"/>
      <c r="Y733" s="3"/>
    </row>
    <row r="734" spans="24:25" ht="12.75">
      <c r="X734" s="3"/>
      <c r="Y734" s="3"/>
    </row>
    <row r="735" spans="24:25" ht="12.75">
      <c r="X735" s="3"/>
      <c r="Y735" s="3"/>
    </row>
    <row r="736" spans="24:25" ht="12.75">
      <c r="X736" s="3"/>
      <c r="Y736" s="3"/>
    </row>
    <row r="737" spans="24:25" ht="12.75">
      <c r="X737" s="3"/>
      <c r="Y737" s="3"/>
    </row>
    <row r="738" spans="24:25" ht="12.75">
      <c r="X738" s="3"/>
      <c r="Y738" s="3"/>
    </row>
    <row r="739" spans="24:25" ht="12.75">
      <c r="X739" s="3"/>
      <c r="Y739" s="3"/>
    </row>
    <row r="740" spans="24:25" ht="12.75">
      <c r="X740" s="3"/>
      <c r="Y740" s="3"/>
    </row>
    <row r="741" spans="24:25" ht="12.75">
      <c r="X741" s="3"/>
      <c r="Y741" s="3"/>
    </row>
    <row r="742" spans="24:25" ht="12.75">
      <c r="X742" s="3"/>
      <c r="Y742" s="3"/>
    </row>
    <row r="743" spans="24:25" ht="12.75">
      <c r="X743" s="3"/>
      <c r="Y743" s="3"/>
    </row>
    <row r="744" spans="24:25" ht="12.75">
      <c r="X744" s="3"/>
      <c r="Y744" s="3"/>
    </row>
    <row r="745" spans="24:25" ht="12.75">
      <c r="X745" s="3"/>
      <c r="Y745" s="3"/>
    </row>
    <row r="746" spans="24:25" ht="12.75">
      <c r="X746" s="3"/>
      <c r="Y746" s="3"/>
    </row>
    <row r="747" spans="24:25" ht="12.75">
      <c r="X747" s="3"/>
      <c r="Y747" s="3"/>
    </row>
    <row r="748" spans="24:25" ht="12.75">
      <c r="X748" s="3"/>
      <c r="Y748" s="3"/>
    </row>
    <row r="749" spans="24:25" ht="12.75">
      <c r="X749" s="3"/>
      <c r="Y749" s="3"/>
    </row>
    <row r="750" spans="24:25" ht="12.75">
      <c r="X750" s="3"/>
      <c r="Y750" s="3"/>
    </row>
    <row r="751" spans="24:25" ht="12.75">
      <c r="X751" s="3"/>
      <c r="Y751" s="3"/>
    </row>
    <row r="752" spans="24:25" ht="12.75">
      <c r="X752" s="3"/>
      <c r="Y752" s="3"/>
    </row>
    <row r="753" spans="24:25" ht="12.75">
      <c r="X753" s="3"/>
      <c r="Y753" s="3"/>
    </row>
    <row r="754" spans="24:25" ht="12.75">
      <c r="X754" s="3"/>
      <c r="Y754" s="3"/>
    </row>
    <row r="755" spans="24:25" ht="12.75">
      <c r="X755" s="3"/>
      <c r="Y755" s="3"/>
    </row>
    <row r="756" spans="24:25" ht="12.75">
      <c r="X756" s="3"/>
      <c r="Y756" s="3"/>
    </row>
    <row r="757" spans="24:25" ht="12.75">
      <c r="X757" s="3"/>
      <c r="Y757" s="3"/>
    </row>
    <row r="758" spans="24:25" ht="12.75">
      <c r="X758" s="3"/>
      <c r="Y758" s="3"/>
    </row>
    <row r="759" spans="24:25" ht="12.75">
      <c r="X759" s="3"/>
      <c r="Y759" s="3"/>
    </row>
    <row r="760" spans="24:25" ht="12.75">
      <c r="X760" s="3"/>
      <c r="Y760" s="3"/>
    </row>
    <row r="761" spans="24:25" ht="12.75">
      <c r="X761" s="3"/>
      <c r="Y761" s="3"/>
    </row>
    <row r="762" spans="24:25" ht="12.75">
      <c r="X762" s="3"/>
      <c r="Y762" s="3"/>
    </row>
    <row r="763" spans="24:25" ht="12.75">
      <c r="X763" s="3"/>
      <c r="Y763" s="3"/>
    </row>
    <row r="764" spans="24:25" ht="12.75">
      <c r="X764" s="3"/>
      <c r="Y764" s="3"/>
    </row>
    <row r="765" spans="24:25" ht="12.75">
      <c r="X765" s="3"/>
      <c r="Y765" s="3"/>
    </row>
    <row r="766" spans="24:25" ht="12.75">
      <c r="X766" s="3"/>
      <c r="Y766" s="3"/>
    </row>
    <row r="767" spans="24:25" ht="12.75">
      <c r="X767" s="3"/>
      <c r="Y767" s="3"/>
    </row>
    <row r="768" spans="24:25" ht="12.75">
      <c r="X768" s="3"/>
      <c r="Y768" s="3"/>
    </row>
    <row r="769" spans="24:25" ht="12.75">
      <c r="X769" s="3"/>
      <c r="Y769" s="3"/>
    </row>
    <row r="770" spans="24:25" ht="12.75">
      <c r="X770" s="3"/>
      <c r="Y770" s="3"/>
    </row>
    <row r="771" spans="24:25" ht="12.75">
      <c r="X771" s="3"/>
      <c r="Y771" s="3"/>
    </row>
    <row r="772" spans="24:25" ht="12.75">
      <c r="X772" s="3"/>
      <c r="Y772" s="3"/>
    </row>
    <row r="773" spans="24:25" ht="12.75">
      <c r="X773" s="3"/>
      <c r="Y773" s="3"/>
    </row>
    <row r="774" spans="24:25" ht="12.75">
      <c r="X774" s="3"/>
      <c r="Y774" s="3"/>
    </row>
    <row r="775" spans="24:25" ht="12.75">
      <c r="X775" s="3"/>
      <c r="Y775" s="3"/>
    </row>
    <row r="776" spans="24:25" ht="12.75">
      <c r="X776" s="3"/>
      <c r="Y776" s="3"/>
    </row>
    <row r="777" spans="24:25" ht="12.75">
      <c r="X777" s="3"/>
      <c r="Y777" s="3"/>
    </row>
    <row r="778" spans="24:25" ht="12.75">
      <c r="X778" s="3"/>
      <c r="Y778" s="3"/>
    </row>
    <row r="779" spans="24:25" ht="12.75">
      <c r="X779" s="3"/>
      <c r="Y779" s="3"/>
    </row>
    <row r="780" spans="24:25" ht="12.75">
      <c r="X780" s="3"/>
      <c r="Y780" s="3"/>
    </row>
  </sheetData>
  <mergeCells count="5">
    <mergeCell ref="AD1:AD2"/>
    <mergeCell ref="A443:D443"/>
    <mergeCell ref="A1:D1"/>
    <mergeCell ref="E1:V1"/>
    <mergeCell ref="W1:AB1"/>
  </mergeCells>
  <hyperlinks>
    <hyperlink ref="W83" location="'DETALLE APOYO F.N.C.'!BA155" display="'DETALLE APOYO F.N.C.'!BA155"/>
  </hyperlinks>
  <printOptions/>
  <pageMargins left="0.73" right="0.75" top="1.02" bottom="0.33" header="0.66" footer="0"/>
  <pageSetup horizontalDpi="600" verticalDpi="600" orientation="landscape" scale="65" r:id="rId1"/>
  <headerFooter alignWithMargins="0">
    <oddHeader>&amp;CAPOYO DEL FONDO NACIONAL DE CALAMIDADES PARA ATENCION DE EMERGENCIAS AÑO 1998
</oddHeader>
  </headerFooter>
</worksheet>
</file>

<file path=xl/worksheets/sheet5.xml><?xml version="1.0" encoding="utf-8"?>
<worksheet xmlns="http://schemas.openxmlformats.org/spreadsheetml/2006/main" xmlns:r="http://schemas.openxmlformats.org/officeDocument/2006/relationships">
  <dimension ref="A1:C67"/>
  <sheetViews>
    <sheetView workbookViewId="0" topLeftCell="A1">
      <selection activeCell="B60" sqref="B60"/>
    </sheetView>
  </sheetViews>
  <sheetFormatPr defaultColWidth="11.421875" defaultRowHeight="12.75"/>
  <cols>
    <col min="2" max="2" width="19.421875" style="0" bestFit="1" customWidth="1"/>
    <col min="3" max="3" width="12.00390625" style="0" bestFit="1" customWidth="1"/>
  </cols>
  <sheetData>
    <row r="1" spans="1:3" ht="12.75">
      <c r="A1" s="133" t="s">
        <v>431</v>
      </c>
      <c r="B1" s="133" t="s">
        <v>713</v>
      </c>
      <c r="C1" s="134" t="s">
        <v>714</v>
      </c>
    </row>
    <row r="2" spans="1:3" ht="12.75">
      <c r="A2" s="35" t="s">
        <v>172</v>
      </c>
      <c r="B2" s="35" t="s">
        <v>702</v>
      </c>
      <c r="C2" s="135">
        <v>10092</v>
      </c>
    </row>
    <row r="3" spans="1:3" ht="12.75">
      <c r="A3" s="136"/>
      <c r="B3" s="137" t="s">
        <v>715</v>
      </c>
      <c r="C3" s="138">
        <v>6900000</v>
      </c>
    </row>
    <row r="4" spans="1:3" ht="12.75">
      <c r="A4" s="35" t="s">
        <v>820</v>
      </c>
      <c r="B4" s="35" t="s">
        <v>702</v>
      </c>
      <c r="C4" s="135">
        <v>14203</v>
      </c>
    </row>
    <row r="5" spans="1:3" ht="12.75">
      <c r="A5" s="136"/>
      <c r="B5" s="137" t="s">
        <v>715</v>
      </c>
      <c r="C5" s="138">
        <v>49268912.63</v>
      </c>
    </row>
    <row r="6" spans="1:3" ht="12.75">
      <c r="A6" s="35" t="s">
        <v>432</v>
      </c>
      <c r="B6" s="35" t="s">
        <v>702</v>
      </c>
      <c r="C6" s="135">
        <v>6683</v>
      </c>
    </row>
    <row r="7" spans="1:3" ht="12.75">
      <c r="A7" s="136"/>
      <c r="B7" s="137" t="s">
        <v>715</v>
      </c>
      <c r="C7" s="138">
        <v>177936865.77</v>
      </c>
    </row>
    <row r="8" spans="1:3" ht="12.75">
      <c r="A8" s="35" t="s">
        <v>203</v>
      </c>
      <c r="B8" s="35" t="s">
        <v>702</v>
      </c>
      <c r="C8" s="135">
        <v>8521</v>
      </c>
    </row>
    <row r="9" spans="1:3" ht="12.75">
      <c r="A9" s="136"/>
      <c r="B9" s="137" t="s">
        <v>715</v>
      </c>
      <c r="C9" s="138">
        <v>128615233.06999996</v>
      </c>
    </row>
    <row r="10" spans="1:3" ht="12.75">
      <c r="A10" s="35" t="s">
        <v>59</v>
      </c>
      <c r="B10" s="35" t="s">
        <v>702</v>
      </c>
      <c r="C10" s="135">
        <v>26251</v>
      </c>
    </row>
    <row r="11" spans="1:3" ht="12.75">
      <c r="A11" s="136"/>
      <c r="B11" s="137" t="s">
        <v>715</v>
      </c>
      <c r="C11" s="138">
        <v>439203734.46000004</v>
      </c>
    </row>
    <row r="12" spans="1:3" ht="12.75">
      <c r="A12" s="35" t="s">
        <v>829</v>
      </c>
      <c r="B12" s="35" t="s">
        <v>702</v>
      </c>
      <c r="C12" s="135">
        <v>4444</v>
      </c>
    </row>
    <row r="13" spans="1:3" ht="12.75">
      <c r="A13" s="136"/>
      <c r="B13" s="137" t="s">
        <v>715</v>
      </c>
      <c r="C13" s="138">
        <v>104635530.29</v>
      </c>
    </row>
    <row r="14" spans="1:3" ht="12.75">
      <c r="A14" s="35" t="s">
        <v>195</v>
      </c>
      <c r="B14" s="35" t="s">
        <v>702</v>
      </c>
      <c r="C14" s="135">
        <v>600</v>
      </c>
    </row>
    <row r="15" spans="1:3" ht="12.75">
      <c r="A15" s="136"/>
      <c r="B15" s="137" t="s">
        <v>715</v>
      </c>
      <c r="C15" s="138">
        <v>1229832</v>
      </c>
    </row>
    <row r="16" spans="1:3" ht="12.75">
      <c r="A16" s="35" t="s">
        <v>126</v>
      </c>
      <c r="B16" s="35" t="s">
        <v>702</v>
      </c>
      <c r="C16" s="135">
        <v>3329</v>
      </c>
    </row>
    <row r="17" spans="1:3" ht="12.75">
      <c r="A17" s="136"/>
      <c r="B17" s="137" t="s">
        <v>715</v>
      </c>
      <c r="C17" s="138">
        <v>43867986.50000001</v>
      </c>
    </row>
    <row r="18" spans="1:3" ht="12.75">
      <c r="A18" s="35" t="s">
        <v>11</v>
      </c>
      <c r="B18" s="35" t="s">
        <v>702</v>
      </c>
      <c r="C18" s="135">
        <v>3266</v>
      </c>
    </row>
    <row r="19" spans="1:3" ht="12.75">
      <c r="A19" s="136"/>
      <c r="B19" s="137" t="s">
        <v>715</v>
      </c>
      <c r="C19" s="138">
        <v>18209834</v>
      </c>
    </row>
    <row r="20" spans="1:3" ht="12.75">
      <c r="A20" s="35" t="s">
        <v>129</v>
      </c>
      <c r="B20" s="35" t="s">
        <v>702</v>
      </c>
      <c r="C20" s="135">
        <v>2160</v>
      </c>
    </row>
    <row r="21" spans="1:3" ht="12.75">
      <c r="A21" s="136"/>
      <c r="B21" s="137" t="s">
        <v>715</v>
      </c>
      <c r="C21" s="138">
        <v>32355464.599999998</v>
      </c>
    </row>
    <row r="22" spans="1:3" ht="12.75">
      <c r="A22" s="35" t="s">
        <v>13</v>
      </c>
      <c r="B22" s="35" t="s">
        <v>702</v>
      </c>
      <c r="C22" s="135">
        <v>9706</v>
      </c>
    </row>
    <row r="23" spans="1:3" ht="12.75">
      <c r="A23" s="136"/>
      <c r="B23" s="137" t="s">
        <v>715</v>
      </c>
      <c r="C23" s="138">
        <v>229295552.57999998</v>
      </c>
    </row>
    <row r="24" spans="1:3" ht="12.75">
      <c r="A24" s="35" t="s">
        <v>877</v>
      </c>
      <c r="B24" s="35" t="s">
        <v>702</v>
      </c>
      <c r="C24" s="135">
        <v>24692</v>
      </c>
    </row>
    <row r="25" spans="1:3" ht="12.75">
      <c r="A25" s="136"/>
      <c r="B25" s="137" t="s">
        <v>715</v>
      </c>
      <c r="C25" s="138">
        <v>161775580.89</v>
      </c>
    </row>
    <row r="26" spans="1:3" ht="12.75">
      <c r="A26" s="35" t="s">
        <v>16</v>
      </c>
      <c r="B26" s="35" t="s">
        <v>702</v>
      </c>
      <c r="C26" s="135">
        <v>982</v>
      </c>
    </row>
    <row r="27" spans="1:3" ht="12.75">
      <c r="A27" s="136"/>
      <c r="B27" s="137" t="s">
        <v>715</v>
      </c>
      <c r="C27" s="138">
        <v>19110214.9</v>
      </c>
    </row>
    <row r="28" spans="1:3" ht="12.75">
      <c r="A28" s="35" t="s">
        <v>22</v>
      </c>
      <c r="B28" s="35" t="s">
        <v>702</v>
      </c>
      <c r="C28" s="135">
        <v>13316</v>
      </c>
    </row>
    <row r="29" spans="1:3" ht="12.75">
      <c r="A29" s="136"/>
      <c r="B29" s="137" t="s">
        <v>715</v>
      </c>
      <c r="C29" s="138">
        <v>333184434.89</v>
      </c>
    </row>
    <row r="30" spans="1:3" ht="12.75">
      <c r="A30" s="35" t="s">
        <v>658</v>
      </c>
      <c r="B30" s="35" t="s">
        <v>702</v>
      </c>
      <c r="C30" s="135">
        <v>2500</v>
      </c>
    </row>
    <row r="31" spans="1:3" ht="12.75">
      <c r="A31" s="136"/>
      <c r="B31" s="137" t="s">
        <v>715</v>
      </c>
      <c r="C31" s="138">
        <v>82225373</v>
      </c>
    </row>
    <row r="32" spans="1:3" ht="12.75">
      <c r="A32" s="35" t="s">
        <v>77</v>
      </c>
      <c r="B32" s="35" t="s">
        <v>702</v>
      </c>
      <c r="C32" s="135">
        <v>9435</v>
      </c>
    </row>
    <row r="33" spans="1:3" ht="12.75">
      <c r="A33" s="136"/>
      <c r="B33" s="137" t="s">
        <v>715</v>
      </c>
      <c r="C33" s="138">
        <v>77804009.93</v>
      </c>
    </row>
    <row r="34" spans="1:3" ht="12.75">
      <c r="A34" s="35" t="s">
        <v>34</v>
      </c>
      <c r="B34" s="35" t="s">
        <v>702</v>
      </c>
      <c r="C34" s="135">
        <v>2779</v>
      </c>
    </row>
    <row r="35" spans="1:3" ht="12.75">
      <c r="A35" s="136"/>
      <c r="B35" s="137" t="s">
        <v>715</v>
      </c>
      <c r="C35" s="138">
        <v>56872937.8</v>
      </c>
    </row>
    <row r="36" spans="1:3" ht="12.75">
      <c r="A36" s="35" t="s">
        <v>39</v>
      </c>
      <c r="B36" s="35" t="s">
        <v>702</v>
      </c>
      <c r="C36" s="135">
        <v>3035</v>
      </c>
    </row>
    <row r="37" spans="1:3" ht="12.75">
      <c r="A37" s="136"/>
      <c r="B37" s="137" t="s">
        <v>715</v>
      </c>
      <c r="C37" s="138">
        <v>132908242.77</v>
      </c>
    </row>
    <row r="38" spans="1:3" ht="12.75">
      <c r="A38" s="35" t="s">
        <v>882</v>
      </c>
      <c r="B38" s="35" t="s">
        <v>702</v>
      </c>
      <c r="C38" s="135">
        <v>17895</v>
      </c>
    </row>
    <row r="39" spans="1:3" ht="12.75">
      <c r="A39" s="136"/>
      <c r="B39" s="137" t="s">
        <v>715</v>
      </c>
      <c r="C39" s="138">
        <v>262444124.23999998</v>
      </c>
    </row>
    <row r="40" spans="1:3" ht="12.75">
      <c r="A40" s="35" t="s">
        <v>310</v>
      </c>
      <c r="B40" s="35" t="s">
        <v>702</v>
      </c>
      <c r="C40" s="135">
        <v>4624</v>
      </c>
    </row>
    <row r="41" spans="1:3" ht="12.75">
      <c r="A41" s="136"/>
      <c r="B41" s="137" t="s">
        <v>715</v>
      </c>
      <c r="C41" s="138">
        <v>112406967.21000001</v>
      </c>
    </row>
    <row r="42" spans="1:3" ht="12.75">
      <c r="A42" s="35" t="s">
        <v>889</v>
      </c>
      <c r="B42" s="35" t="s">
        <v>702</v>
      </c>
      <c r="C42" s="135">
        <v>1176</v>
      </c>
    </row>
    <row r="43" spans="1:3" ht="12.75">
      <c r="A43" s="136"/>
      <c r="B43" s="137" t="s">
        <v>715</v>
      </c>
      <c r="C43" s="138">
        <v>37013081.53</v>
      </c>
    </row>
    <row r="44" spans="1:3" ht="12.75">
      <c r="A44" s="35" t="s">
        <v>893</v>
      </c>
      <c r="B44" s="35" t="s">
        <v>702</v>
      </c>
      <c r="C44" s="135">
        <v>1888</v>
      </c>
    </row>
    <row r="45" spans="1:3" ht="12.75">
      <c r="A45" s="136"/>
      <c r="B45" s="137" t="s">
        <v>715</v>
      </c>
      <c r="C45" s="138">
        <v>31736921.86</v>
      </c>
    </row>
    <row r="46" spans="1:3" ht="12.75">
      <c r="A46" s="35" t="s">
        <v>92</v>
      </c>
      <c r="B46" s="35" t="s">
        <v>702</v>
      </c>
      <c r="C46" s="135">
        <v>6845</v>
      </c>
    </row>
    <row r="47" spans="1:3" ht="12.75">
      <c r="A47" s="136"/>
      <c r="B47" s="137" t="s">
        <v>715</v>
      </c>
      <c r="C47" s="138">
        <v>119503800.92000002</v>
      </c>
    </row>
    <row r="48" spans="1:3" ht="12.75">
      <c r="A48" s="35" t="s">
        <v>41</v>
      </c>
      <c r="B48" s="35" t="s">
        <v>702</v>
      </c>
      <c r="C48" s="135">
        <v>899</v>
      </c>
    </row>
    <row r="49" spans="1:3" ht="12.75">
      <c r="A49" s="136"/>
      <c r="B49" s="137" t="s">
        <v>715</v>
      </c>
      <c r="C49" s="138">
        <v>24688315.2</v>
      </c>
    </row>
    <row r="50" spans="1:3" ht="12.75">
      <c r="A50" s="35" t="s">
        <v>366</v>
      </c>
      <c r="B50" s="35" t="s">
        <v>702</v>
      </c>
      <c r="C50" s="135">
        <v>2476</v>
      </c>
    </row>
    <row r="51" spans="1:3" ht="12.75">
      <c r="A51" s="136"/>
      <c r="B51" s="137" t="s">
        <v>715</v>
      </c>
      <c r="C51" s="138">
        <v>90425029.80000001</v>
      </c>
    </row>
    <row r="52" spans="1:3" ht="12.75">
      <c r="A52" s="35" t="s">
        <v>48</v>
      </c>
      <c r="B52" s="35" t="s">
        <v>702</v>
      </c>
      <c r="C52" s="135"/>
    </row>
    <row r="53" spans="1:3" ht="12.75">
      <c r="A53" s="136"/>
      <c r="B53" s="137" t="s">
        <v>715</v>
      </c>
      <c r="C53" s="138">
        <v>17710000</v>
      </c>
    </row>
    <row r="54" spans="1:3" ht="12.75">
      <c r="A54" s="35" t="s">
        <v>899</v>
      </c>
      <c r="B54" s="35" t="s">
        <v>702</v>
      </c>
      <c r="C54" s="135">
        <v>7299</v>
      </c>
    </row>
    <row r="55" spans="1:3" ht="12.75">
      <c r="A55" s="136"/>
      <c r="B55" s="137" t="s">
        <v>715</v>
      </c>
      <c r="C55" s="138">
        <v>249464771.24999997</v>
      </c>
    </row>
    <row r="56" spans="1:3" ht="12.75">
      <c r="A56" s="35" t="s">
        <v>904</v>
      </c>
      <c r="B56" s="35" t="s">
        <v>702</v>
      </c>
      <c r="C56" s="135">
        <v>48930</v>
      </c>
    </row>
    <row r="57" spans="1:3" ht="12.75">
      <c r="A57" s="136"/>
      <c r="B57" s="137" t="s">
        <v>715</v>
      </c>
      <c r="C57" s="138">
        <v>205372450.43</v>
      </c>
    </row>
    <row r="58" spans="1:3" ht="12.75">
      <c r="A58" s="35" t="s">
        <v>100</v>
      </c>
      <c r="B58" s="35" t="s">
        <v>702</v>
      </c>
      <c r="C58" s="135">
        <v>9594</v>
      </c>
    </row>
    <row r="59" spans="1:3" ht="12.75">
      <c r="A59" s="136"/>
      <c r="B59" s="137" t="s">
        <v>715</v>
      </c>
      <c r="C59" s="138">
        <v>204496214.79999998</v>
      </c>
    </row>
    <row r="60" spans="1:3" ht="12.75">
      <c r="A60" s="35" t="s">
        <v>49</v>
      </c>
      <c r="B60" s="35" t="s">
        <v>702</v>
      </c>
      <c r="C60" s="135">
        <v>6608</v>
      </c>
    </row>
    <row r="61" spans="1:3" ht="12.75">
      <c r="A61" s="136"/>
      <c r="B61" s="137" t="s">
        <v>715</v>
      </c>
      <c r="C61" s="138">
        <v>211758452.98999998</v>
      </c>
    </row>
    <row r="62" spans="1:3" ht="12.75">
      <c r="A62" s="35" t="s">
        <v>574</v>
      </c>
      <c r="B62" s="35" t="s">
        <v>702</v>
      </c>
      <c r="C62" s="135">
        <v>210</v>
      </c>
    </row>
    <row r="63" spans="1:3" ht="12.75">
      <c r="A63" s="136"/>
      <c r="B63" s="137" t="s">
        <v>715</v>
      </c>
      <c r="C63" s="138">
        <v>4600000</v>
      </c>
    </row>
    <row r="64" spans="1:3" ht="12.75">
      <c r="A64" s="35" t="s">
        <v>488</v>
      </c>
      <c r="B64" s="35" t="s">
        <v>702</v>
      </c>
      <c r="C64" s="135">
        <v>3903</v>
      </c>
    </row>
    <row r="65" spans="1:3" ht="12.75">
      <c r="A65" s="136"/>
      <c r="B65" s="137" t="s">
        <v>715</v>
      </c>
      <c r="C65" s="138">
        <v>194577190.5</v>
      </c>
    </row>
    <row r="66" spans="1:3" ht="12.75">
      <c r="A66" s="35" t="s">
        <v>716</v>
      </c>
      <c r="B66" s="139"/>
      <c r="C66" s="135">
        <v>258341</v>
      </c>
    </row>
    <row r="67" spans="1:3" ht="12.75">
      <c r="A67" s="140" t="s">
        <v>717</v>
      </c>
      <c r="B67" s="141"/>
      <c r="C67" s="142">
        <v>3861597060.81</v>
      </c>
    </row>
  </sheetData>
  <printOptions/>
  <pageMargins left="0.75" right="0.75" top="1" bottom="1" header="0" footer="0"/>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AC895"/>
  <sheetViews>
    <sheetView tabSelected="1" workbookViewId="0" topLeftCell="A1">
      <pane xSplit="4" ySplit="2" topLeftCell="E34" activePane="bottomRight" state="frozen"/>
      <selection pane="topLeft" activeCell="A1" sqref="A1"/>
      <selection pane="topRight" activeCell="E1" sqref="E1"/>
      <selection pane="bottomLeft" activeCell="A3" sqref="A3"/>
      <selection pane="bottomRight" activeCell="C562" sqref="C562"/>
    </sheetView>
  </sheetViews>
  <sheetFormatPr defaultColWidth="11.421875" defaultRowHeight="12.75" outlineLevelRow="1"/>
  <cols>
    <col min="1" max="1" width="8.57421875" style="1" customWidth="1"/>
    <col min="2" max="2" width="13.28125" style="2" customWidth="1"/>
    <col min="3" max="3" width="13.00390625" style="4" customWidth="1"/>
    <col min="4" max="4" width="14.28125" style="4" customWidth="1"/>
    <col min="5" max="5" width="9.28125" style="4" customWidth="1"/>
    <col min="6" max="7" width="8.28125" style="4" customWidth="1"/>
    <col min="8" max="8" width="11.8515625" style="4" customWidth="1"/>
    <col min="9" max="9" width="10.00390625" style="4" customWidth="1"/>
    <col min="10" max="10" width="12.7109375" style="4" customWidth="1"/>
    <col min="11" max="11" width="9.140625" style="4" customWidth="1"/>
    <col min="12" max="12" width="6.57421875" style="4" customWidth="1"/>
    <col min="13" max="13" width="10.421875" style="6" customWidth="1"/>
    <col min="14" max="14" width="9.8515625" style="6" customWidth="1"/>
    <col min="15" max="15" width="7.28125" style="6" customWidth="1"/>
    <col min="16" max="16" width="8.140625" style="6" customWidth="1"/>
    <col min="17" max="17" width="8.00390625" style="6" customWidth="1"/>
    <col min="18" max="18" width="9.28125" style="6" customWidth="1"/>
    <col min="19" max="19" width="10.140625" style="6" customWidth="1"/>
    <col min="20" max="20" width="17.57421875" style="6" customWidth="1"/>
    <col min="21" max="21" width="11.7109375" style="4" customWidth="1"/>
    <col min="22" max="22" width="12.8515625" style="4" customWidth="1"/>
    <col min="23" max="23" width="12.00390625" style="4" customWidth="1"/>
    <col min="24" max="24" width="10.8515625" style="4" customWidth="1"/>
    <col min="25" max="25" width="10.57421875" style="4" customWidth="1"/>
    <col min="26" max="26" width="11.8515625" style="4" customWidth="1"/>
    <col min="27" max="27" width="14.7109375" style="4" customWidth="1"/>
    <col min="28" max="28" width="40.00390625" style="4" customWidth="1"/>
    <col min="29" max="16384" width="11.421875" style="4" customWidth="1"/>
  </cols>
  <sheetData>
    <row r="1" spans="1:28" ht="17.25" thickBot="1" thickTop="1">
      <c r="A1" s="152" t="s">
        <v>833</v>
      </c>
      <c r="B1" s="153"/>
      <c r="C1" s="153"/>
      <c r="D1" s="154"/>
      <c r="E1" s="155" t="s">
        <v>849</v>
      </c>
      <c r="F1" s="156"/>
      <c r="G1" s="156"/>
      <c r="H1" s="156"/>
      <c r="I1" s="156"/>
      <c r="J1" s="156"/>
      <c r="K1" s="157"/>
      <c r="L1" s="157"/>
      <c r="M1" s="157"/>
      <c r="N1" s="157"/>
      <c r="O1" s="157"/>
      <c r="P1" s="157"/>
      <c r="Q1" s="157"/>
      <c r="R1" s="157"/>
      <c r="S1" s="157"/>
      <c r="T1" s="158"/>
      <c r="U1" s="159" t="s">
        <v>845</v>
      </c>
      <c r="V1" s="160"/>
      <c r="W1" s="160"/>
      <c r="X1" s="160"/>
      <c r="Y1" s="160"/>
      <c r="Z1" s="160"/>
      <c r="AA1" s="126"/>
      <c r="AB1" s="122"/>
    </row>
    <row r="2" spans="1:28" ht="14.25" customHeight="1" thickBot="1" thickTop="1">
      <c r="A2" s="65" t="s">
        <v>814</v>
      </c>
      <c r="B2" s="66" t="s">
        <v>431</v>
      </c>
      <c r="C2" s="66" t="s">
        <v>816</v>
      </c>
      <c r="D2" s="66" t="s">
        <v>817</v>
      </c>
      <c r="E2" s="32" t="s">
        <v>832</v>
      </c>
      <c r="F2" s="32" t="s">
        <v>834</v>
      </c>
      <c r="G2" s="32" t="s">
        <v>835</v>
      </c>
      <c r="H2" s="67" t="s">
        <v>818</v>
      </c>
      <c r="I2" s="67" t="s">
        <v>822</v>
      </c>
      <c r="J2" s="67" t="s">
        <v>850</v>
      </c>
      <c r="K2" s="67" t="s">
        <v>851</v>
      </c>
      <c r="L2" s="32" t="s">
        <v>830</v>
      </c>
      <c r="M2" s="33" t="s">
        <v>836</v>
      </c>
      <c r="N2" s="33" t="s">
        <v>837</v>
      </c>
      <c r="O2" s="33" t="s">
        <v>838</v>
      </c>
      <c r="P2" s="33" t="s">
        <v>841</v>
      </c>
      <c r="Q2" s="33" t="s">
        <v>839</v>
      </c>
      <c r="R2" s="33" t="s">
        <v>840</v>
      </c>
      <c r="S2" s="33" t="s">
        <v>842</v>
      </c>
      <c r="T2" s="33" t="s">
        <v>848</v>
      </c>
      <c r="U2" s="62" t="s">
        <v>843</v>
      </c>
      <c r="V2" s="62" t="s">
        <v>847</v>
      </c>
      <c r="W2" s="62" t="s">
        <v>844</v>
      </c>
      <c r="X2" s="63" t="s">
        <v>823</v>
      </c>
      <c r="Y2" s="63" t="s">
        <v>848</v>
      </c>
      <c r="Z2" s="64" t="s">
        <v>846</v>
      </c>
      <c r="AA2" s="128" t="s">
        <v>83</v>
      </c>
      <c r="AB2" s="124" t="s">
        <v>819</v>
      </c>
    </row>
    <row r="3" spans="1:28" ht="17.25" thickTop="1">
      <c r="A3" s="18">
        <v>35804</v>
      </c>
      <c r="B3" s="19" t="s">
        <v>882</v>
      </c>
      <c r="C3" s="19" t="s">
        <v>883</v>
      </c>
      <c r="D3" s="19" t="s">
        <v>884</v>
      </c>
      <c r="E3" s="44"/>
      <c r="F3" s="44"/>
      <c r="G3" s="44"/>
      <c r="H3" s="44"/>
      <c r="I3" s="44"/>
      <c r="J3" s="44"/>
      <c r="K3" s="45"/>
      <c r="L3" s="45"/>
      <c r="M3" s="45"/>
      <c r="N3" s="45"/>
      <c r="O3" s="45">
        <v>1</v>
      </c>
      <c r="P3" s="45"/>
      <c r="Q3" s="45"/>
      <c r="R3" s="45"/>
      <c r="S3" s="45"/>
      <c r="T3" s="28"/>
      <c r="U3" s="36"/>
      <c r="V3" s="36"/>
      <c r="W3" s="36"/>
      <c r="X3" s="36"/>
      <c r="Y3" s="36"/>
      <c r="Z3" s="36"/>
      <c r="AA3" s="127">
        <f aca="true" t="shared" si="0" ref="AA3:AA66">+U3+V3+W3+X3+Y3+Z3</f>
        <v>0</v>
      </c>
      <c r="AB3" s="123" t="s">
        <v>888</v>
      </c>
    </row>
    <row r="4" spans="1:28" ht="22.5">
      <c r="A4" s="20">
        <v>35808</v>
      </c>
      <c r="B4" s="21" t="s">
        <v>820</v>
      </c>
      <c r="C4" s="21" t="s">
        <v>494</v>
      </c>
      <c r="D4" s="21" t="s">
        <v>872</v>
      </c>
      <c r="E4" s="46"/>
      <c r="F4" s="46"/>
      <c r="G4" s="46"/>
      <c r="H4" s="46"/>
      <c r="I4" s="46"/>
      <c r="J4" s="46"/>
      <c r="K4" s="47"/>
      <c r="L4" s="47"/>
      <c r="M4" s="47"/>
      <c r="N4" s="47"/>
      <c r="O4" s="47"/>
      <c r="P4" s="47"/>
      <c r="Q4" s="47"/>
      <c r="R4" s="47"/>
      <c r="S4" s="47"/>
      <c r="T4" s="29"/>
      <c r="U4" s="37"/>
      <c r="V4" s="37"/>
      <c r="W4" s="37"/>
      <c r="X4" s="37"/>
      <c r="Y4" s="37"/>
      <c r="Z4" s="37"/>
      <c r="AA4" s="127">
        <f t="shared" si="0"/>
        <v>0</v>
      </c>
      <c r="AB4" s="26"/>
    </row>
    <row r="5" spans="1:28" ht="22.5">
      <c r="A5" s="20">
        <v>35809</v>
      </c>
      <c r="B5" s="21" t="s">
        <v>820</v>
      </c>
      <c r="C5" s="21" t="s">
        <v>873</v>
      </c>
      <c r="D5" s="21" t="s">
        <v>821</v>
      </c>
      <c r="E5" s="46"/>
      <c r="F5" s="46"/>
      <c r="G5" s="46"/>
      <c r="H5" s="46">
        <v>25</v>
      </c>
      <c r="I5" s="46">
        <v>5</v>
      </c>
      <c r="J5" s="46">
        <v>1</v>
      </c>
      <c r="K5" s="47">
        <v>4</v>
      </c>
      <c r="L5" s="47"/>
      <c r="M5" s="47"/>
      <c r="N5" s="47"/>
      <c r="O5" s="47"/>
      <c r="P5" s="47"/>
      <c r="Q5" s="47"/>
      <c r="R5" s="47"/>
      <c r="S5" s="47"/>
      <c r="T5" s="29"/>
      <c r="U5" s="37"/>
      <c r="V5" s="37"/>
      <c r="W5" s="37"/>
      <c r="X5" s="37"/>
      <c r="Y5" s="37"/>
      <c r="Z5" s="37"/>
      <c r="AA5" s="127">
        <f t="shared" si="0"/>
        <v>0</v>
      </c>
      <c r="AB5" s="26" t="s">
        <v>874</v>
      </c>
    </row>
    <row r="6" spans="1:28" ht="12.75">
      <c r="A6" s="20">
        <v>35813</v>
      </c>
      <c r="B6" s="21" t="s">
        <v>889</v>
      </c>
      <c r="C6" s="21" t="s">
        <v>890</v>
      </c>
      <c r="D6" s="21" t="s">
        <v>891</v>
      </c>
      <c r="E6" s="46"/>
      <c r="F6" s="46"/>
      <c r="G6" s="46"/>
      <c r="H6" s="46">
        <v>50</v>
      </c>
      <c r="I6" s="46">
        <v>10</v>
      </c>
      <c r="J6" s="46">
        <v>10</v>
      </c>
      <c r="K6" s="47"/>
      <c r="L6" s="47"/>
      <c r="M6" s="47"/>
      <c r="N6" s="47"/>
      <c r="O6" s="47"/>
      <c r="P6" s="47"/>
      <c r="Q6" s="47"/>
      <c r="R6" s="47"/>
      <c r="S6" s="47">
        <v>1</v>
      </c>
      <c r="T6" s="29"/>
      <c r="U6" s="37"/>
      <c r="V6" s="37"/>
      <c r="W6" s="37"/>
      <c r="X6" s="37"/>
      <c r="Y6" s="37"/>
      <c r="Z6" s="37"/>
      <c r="AA6" s="127">
        <f t="shared" si="0"/>
        <v>0</v>
      </c>
      <c r="AB6" s="26" t="s">
        <v>892</v>
      </c>
    </row>
    <row r="7" spans="1:28" ht="22.5">
      <c r="A7" s="20">
        <v>35814</v>
      </c>
      <c r="B7" s="21" t="s">
        <v>893</v>
      </c>
      <c r="C7" s="21" t="s">
        <v>894</v>
      </c>
      <c r="D7" s="21" t="s">
        <v>872</v>
      </c>
      <c r="E7" s="46"/>
      <c r="F7" s="46"/>
      <c r="G7" s="46"/>
      <c r="H7" s="46"/>
      <c r="I7" s="46"/>
      <c r="J7" s="46"/>
      <c r="K7" s="47"/>
      <c r="L7" s="47"/>
      <c r="M7" s="47"/>
      <c r="N7" s="47"/>
      <c r="O7" s="47"/>
      <c r="P7" s="47"/>
      <c r="Q7" s="47"/>
      <c r="R7" s="47"/>
      <c r="S7" s="47"/>
      <c r="T7" s="29" t="s">
        <v>895</v>
      </c>
      <c r="U7" s="37"/>
      <c r="V7" s="37"/>
      <c r="W7" s="37"/>
      <c r="X7" s="37"/>
      <c r="Y7" s="37"/>
      <c r="Z7" s="37"/>
      <c r="AA7" s="127">
        <f t="shared" si="0"/>
        <v>0</v>
      </c>
      <c r="AB7" s="26" t="s">
        <v>896</v>
      </c>
    </row>
    <row r="8" spans="1:28" ht="22.5">
      <c r="A8" s="20">
        <v>35816</v>
      </c>
      <c r="B8" s="21" t="s">
        <v>893</v>
      </c>
      <c r="C8" s="21" t="s">
        <v>894</v>
      </c>
      <c r="D8" s="21" t="s">
        <v>872</v>
      </c>
      <c r="E8" s="46"/>
      <c r="F8" s="46"/>
      <c r="G8" s="46"/>
      <c r="H8" s="46"/>
      <c r="I8" s="46"/>
      <c r="J8" s="46"/>
      <c r="K8" s="47"/>
      <c r="L8" s="47"/>
      <c r="M8" s="47"/>
      <c r="N8" s="47"/>
      <c r="O8" s="47"/>
      <c r="P8" s="47"/>
      <c r="Q8" s="47"/>
      <c r="R8" s="47"/>
      <c r="S8" s="47"/>
      <c r="T8" s="29" t="s">
        <v>897</v>
      </c>
      <c r="U8" s="37"/>
      <c r="V8" s="37"/>
      <c r="W8" s="37"/>
      <c r="X8" s="37"/>
      <c r="Y8" s="37"/>
      <c r="Z8" s="37"/>
      <c r="AA8" s="127">
        <f t="shared" si="0"/>
        <v>0</v>
      </c>
      <c r="AB8" s="26" t="s">
        <v>898</v>
      </c>
    </row>
    <row r="9" spans="1:28" ht="21.75" customHeight="1">
      <c r="A9" s="20">
        <v>35821</v>
      </c>
      <c r="B9" s="21" t="s">
        <v>877</v>
      </c>
      <c r="C9" s="21" t="s">
        <v>878</v>
      </c>
      <c r="D9" s="21" t="s">
        <v>879</v>
      </c>
      <c r="E9" s="46"/>
      <c r="F9" s="46"/>
      <c r="G9" s="46"/>
      <c r="H9" s="46">
        <v>50</v>
      </c>
      <c r="I9" s="46">
        <v>9</v>
      </c>
      <c r="J9" s="46">
        <v>9</v>
      </c>
      <c r="K9" s="47"/>
      <c r="L9" s="47"/>
      <c r="M9" s="47"/>
      <c r="N9" s="47"/>
      <c r="O9" s="47"/>
      <c r="P9" s="47"/>
      <c r="Q9" s="47"/>
      <c r="R9" s="47"/>
      <c r="S9" s="47"/>
      <c r="T9" s="29" t="s">
        <v>880</v>
      </c>
      <c r="U9" s="37"/>
      <c r="V9" s="37"/>
      <c r="W9" s="37"/>
      <c r="X9" s="37"/>
      <c r="Y9" s="37"/>
      <c r="Z9" s="37"/>
      <c r="AA9" s="127">
        <f t="shared" si="0"/>
        <v>0</v>
      </c>
      <c r="AB9" s="26" t="s">
        <v>881</v>
      </c>
    </row>
    <row r="10" spans="1:28" ht="22.5">
      <c r="A10" s="20">
        <v>35821</v>
      </c>
      <c r="B10" s="21" t="s">
        <v>904</v>
      </c>
      <c r="C10" s="21" t="s">
        <v>905</v>
      </c>
      <c r="D10" s="21" t="s">
        <v>884</v>
      </c>
      <c r="E10" s="46"/>
      <c r="F10" s="46"/>
      <c r="G10" s="46"/>
      <c r="H10" s="46"/>
      <c r="I10" s="46"/>
      <c r="J10" s="46"/>
      <c r="K10" s="47"/>
      <c r="L10" s="47"/>
      <c r="M10" s="47"/>
      <c r="N10" s="47"/>
      <c r="O10" s="47"/>
      <c r="P10" s="47"/>
      <c r="Q10" s="47"/>
      <c r="R10" s="47"/>
      <c r="S10" s="47"/>
      <c r="T10" s="29" t="s">
        <v>906</v>
      </c>
      <c r="U10" s="37"/>
      <c r="V10" s="37">
        <v>23000000</v>
      </c>
      <c r="W10" s="37"/>
      <c r="X10" s="37"/>
      <c r="Y10" s="37"/>
      <c r="Z10" s="37"/>
      <c r="AA10" s="127">
        <f t="shared" si="0"/>
        <v>23000000</v>
      </c>
      <c r="AB10" s="26"/>
    </row>
    <row r="11" spans="1:28" ht="24.75">
      <c r="A11" s="20">
        <v>35823</v>
      </c>
      <c r="B11" s="21" t="s">
        <v>899</v>
      </c>
      <c r="C11" s="21" t="s">
        <v>900</v>
      </c>
      <c r="D11" s="21" t="s">
        <v>821</v>
      </c>
      <c r="E11" s="46"/>
      <c r="F11" s="46"/>
      <c r="G11" s="46"/>
      <c r="H11" s="46">
        <v>900</v>
      </c>
      <c r="I11" s="46">
        <v>190</v>
      </c>
      <c r="J11" s="46">
        <v>7</v>
      </c>
      <c r="K11" s="47">
        <v>173</v>
      </c>
      <c r="L11" s="47"/>
      <c r="M11" s="47"/>
      <c r="N11" s="47"/>
      <c r="O11" s="47"/>
      <c r="P11" s="47"/>
      <c r="Q11" s="47"/>
      <c r="R11" s="47"/>
      <c r="S11" s="47"/>
      <c r="T11" s="29"/>
      <c r="U11" s="31">
        <v>31523640</v>
      </c>
      <c r="V11" s="37">
        <v>11500000</v>
      </c>
      <c r="W11" s="37">
        <v>6885760</v>
      </c>
      <c r="X11" s="37"/>
      <c r="Y11" s="37"/>
      <c r="Z11" s="37"/>
      <c r="AA11" s="127">
        <f t="shared" si="0"/>
        <v>49909400</v>
      </c>
      <c r="AB11" s="26" t="s">
        <v>901</v>
      </c>
    </row>
    <row r="12" spans="1:28" ht="23.25" customHeight="1">
      <c r="A12" s="20">
        <v>35823</v>
      </c>
      <c r="B12" s="21" t="s">
        <v>899</v>
      </c>
      <c r="C12" s="21" t="s">
        <v>902</v>
      </c>
      <c r="D12" s="21" t="s">
        <v>821</v>
      </c>
      <c r="E12" s="46"/>
      <c r="F12" s="46">
        <v>7</v>
      </c>
      <c r="G12" s="46"/>
      <c r="H12" s="46">
        <v>2430</v>
      </c>
      <c r="I12" s="46">
        <v>446</v>
      </c>
      <c r="J12" s="46">
        <v>7</v>
      </c>
      <c r="K12" s="47">
        <v>446</v>
      </c>
      <c r="L12" s="47"/>
      <c r="M12" s="47"/>
      <c r="N12" s="47"/>
      <c r="O12" s="47"/>
      <c r="P12" s="47"/>
      <c r="Q12" s="47"/>
      <c r="R12" s="47"/>
      <c r="S12" s="47"/>
      <c r="T12" s="29"/>
      <c r="U12" s="37">
        <v>24792548</v>
      </c>
      <c r="V12" s="37">
        <v>11500000</v>
      </c>
      <c r="W12" s="37">
        <v>5508608</v>
      </c>
      <c r="X12" s="37"/>
      <c r="Y12" s="37"/>
      <c r="Z12" s="37"/>
      <c r="AA12" s="127">
        <f t="shared" si="0"/>
        <v>41801156</v>
      </c>
      <c r="AB12" s="26" t="s">
        <v>903</v>
      </c>
    </row>
    <row r="13" spans="1:28" ht="12.75">
      <c r="A13" s="20">
        <v>35826</v>
      </c>
      <c r="B13" s="21" t="s">
        <v>829</v>
      </c>
      <c r="C13" s="21" t="s">
        <v>875</v>
      </c>
      <c r="D13" s="21" t="s">
        <v>872</v>
      </c>
      <c r="E13" s="46"/>
      <c r="F13" s="46"/>
      <c r="G13" s="46"/>
      <c r="H13" s="46"/>
      <c r="I13" s="46"/>
      <c r="J13" s="46"/>
      <c r="K13" s="47"/>
      <c r="L13" s="47"/>
      <c r="M13" s="47"/>
      <c r="N13" s="47"/>
      <c r="O13" s="47"/>
      <c r="P13" s="47"/>
      <c r="Q13" s="47"/>
      <c r="R13" s="47"/>
      <c r="S13" s="47"/>
      <c r="T13" s="29"/>
      <c r="U13" s="37"/>
      <c r="V13" s="37"/>
      <c r="W13" s="37"/>
      <c r="X13" s="37"/>
      <c r="Y13" s="37"/>
      <c r="Z13" s="37"/>
      <c r="AA13" s="127">
        <f t="shared" si="0"/>
        <v>0</v>
      </c>
      <c r="AB13" s="26" t="s">
        <v>876</v>
      </c>
    </row>
    <row r="14" spans="1:28" ht="22.5">
      <c r="A14" s="20">
        <v>35827</v>
      </c>
      <c r="B14" s="22" t="s">
        <v>22</v>
      </c>
      <c r="C14" s="21" t="s">
        <v>33</v>
      </c>
      <c r="D14" s="21" t="s">
        <v>891</v>
      </c>
      <c r="E14" s="46"/>
      <c r="F14" s="46"/>
      <c r="G14" s="46"/>
      <c r="H14" s="46">
        <v>30</v>
      </c>
      <c r="I14" s="46">
        <v>6</v>
      </c>
      <c r="J14" s="46">
        <v>6</v>
      </c>
      <c r="K14" s="47"/>
      <c r="L14" s="47">
        <v>1</v>
      </c>
      <c r="M14" s="47"/>
      <c r="N14" s="47"/>
      <c r="O14" s="47"/>
      <c r="P14" s="47"/>
      <c r="Q14" s="47"/>
      <c r="R14" s="47"/>
      <c r="S14" s="47"/>
      <c r="T14" s="29"/>
      <c r="U14" s="37"/>
      <c r="V14" s="37"/>
      <c r="W14" s="37"/>
      <c r="X14" s="37"/>
      <c r="Y14" s="37"/>
      <c r="Z14" s="37"/>
      <c r="AA14" s="127">
        <f t="shared" si="0"/>
        <v>0</v>
      </c>
      <c r="AB14" s="26"/>
    </row>
    <row r="15" spans="1:28" ht="16.5">
      <c r="A15" s="20">
        <v>35827</v>
      </c>
      <c r="B15" s="22" t="s">
        <v>22</v>
      </c>
      <c r="C15" s="21" t="s">
        <v>27</v>
      </c>
      <c r="D15" s="21" t="s">
        <v>821</v>
      </c>
      <c r="E15" s="46"/>
      <c r="F15" s="46"/>
      <c r="G15" s="46"/>
      <c r="H15" s="46"/>
      <c r="I15" s="46"/>
      <c r="J15" s="46"/>
      <c r="K15" s="47"/>
      <c r="L15" s="47"/>
      <c r="M15" s="47"/>
      <c r="N15" s="47"/>
      <c r="O15" s="47"/>
      <c r="P15" s="47"/>
      <c r="Q15" s="47"/>
      <c r="R15" s="47"/>
      <c r="S15" s="47"/>
      <c r="T15" s="29"/>
      <c r="U15" s="37"/>
      <c r="V15" s="37"/>
      <c r="W15" s="37"/>
      <c r="X15" s="37"/>
      <c r="Y15" s="37"/>
      <c r="Z15" s="37"/>
      <c r="AA15" s="127">
        <f t="shared" si="0"/>
        <v>0</v>
      </c>
      <c r="AB15" s="26" t="s">
        <v>28</v>
      </c>
    </row>
    <row r="16" spans="1:28" ht="12.75">
      <c r="A16" s="20">
        <v>35827</v>
      </c>
      <c r="B16" s="22" t="s">
        <v>22</v>
      </c>
      <c r="C16" s="21" t="s">
        <v>29</v>
      </c>
      <c r="D16" s="21" t="s">
        <v>821</v>
      </c>
      <c r="E16" s="46"/>
      <c r="F16" s="46"/>
      <c r="G16" s="46"/>
      <c r="H16" s="46"/>
      <c r="I16" s="46"/>
      <c r="J16" s="46"/>
      <c r="K16" s="47"/>
      <c r="L16" s="47"/>
      <c r="M16" s="47"/>
      <c r="N16" s="47"/>
      <c r="O16" s="47"/>
      <c r="P16" s="47"/>
      <c r="Q16" s="47"/>
      <c r="R16" s="47"/>
      <c r="S16" s="47"/>
      <c r="T16" s="29"/>
      <c r="U16" s="37"/>
      <c r="V16" s="37"/>
      <c r="W16" s="37"/>
      <c r="X16" s="37"/>
      <c r="Y16" s="37"/>
      <c r="Z16" s="37"/>
      <c r="AA16" s="127">
        <f t="shared" si="0"/>
        <v>0</v>
      </c>
      <c r="AB16" s="26" t="s">
        <v>30</v>
      </c>
    </row>
    <row r="17" spans="1:28" ht="16.5">
      <c r="A17" s="20">
        <v>35827</v>
      </c>
      <c r="B17" s="22" t="s">
        <v>22</v>
      </c>
      <c r="C17" s="21" t="s">
        <v>31</v>
      </c>
      <c r="D17" s="21" t="s">
        <v>821</v>
      </c>
      <c r="E17" s="46"/>
      <c r="F17" s="46"/>
      <c r="G17" s="46"/>
      <c r="H17" s="46"/>
      <c r="I17" s="46"/>
      <c r="J17" s="46"/>
      <c r="K17" s="47"/>
      <c r="L17" s="47"/>
      <c r="M17" s="47"/>
      <c r="N17" s="47"/>
      <c r="O17" s="47"/>
      <c r="P17" s="47"/>
      <c r="Q17" s="47"/>
      <c r="R17" s="47"/>
      <c r="S17" s="47"/>
      <c r="T17" s="29"/>
      <c r="U17" s="37"/>
      <c r="V17" s="37"/>
      <c r="W17" s="37"/>
      <c r="X17" s="37"/>
      <c r="Y17" s="37"/>
      <c r="Z17" s="37"/>
      <c r="AA17" s="127">
        <f t="shared" si="0"/>
        <v>0</v>
      </c>
      <c r="AB17" s="26" t="s">
        <v>32</v>
      </c>
    </row>
    <row r="18" spans="1:28" ht="12.75">
      <c r="A18" s="20">
        <v>35827</v>
      </c>
      <c r="B18" s="22" t="s">
        <v>22</v>
      </c>
      <c r="C18" s="21" t="s">
        <v>24</v>
      </c>
      <c r="D18" s="21" t="s">
        <v>25</v>
      </c>
      <c r="E18" s="46"/>
      <c r="F18" s="46"/>
      <c r="G18" s="46"/>
      <c r="H18" s="46"/>
      <c r="I18" s="46"/>
      <c r="J18" s="46"/>
      <c r="K18" s="47"/>
      <c r="L18" s="47"/>
      <c r="M18" s="47">
        <v>1</v>
      </c>
      <c r="N18" s="47"/>
      <c r="O18" s="47"/>
      <c r="P18" s="47"/>
      <c r="Q18" s="47"/>
      <c r="R18" s="47"/>
      <c r="S18" s="47"/>
      <c r="T18" s="29"/>
      <c r="U18" s="37"/>
      <c r="V18" s="37"/>
      <c r="W18" s="37"/>
      <c r="X18" s="37"/>
      <c r="Y18" s="37"/>
      <c r="Z18" s="37"/>
      <c r="AA18" s="127">
        <f t="shared" si="0"/>
        <v>0</v>
      </c>
      <c r="AB18" s="26" t="s">
        <v>26</v>
      </c>
    </row>
    <row r="19" spans="1:28" ht="12.75">
      <c r="A19" s="20">
        <v>35827</v>
      </c>
      <c r="B19" s="22" t="s">
        <v>34</v>
      </c>
      <c r="C19" s="21" t="s">
        <v>875</v>
      </c>
      <c r="D19" s="21" t="s">
        <v>36</v>
      </c>
      <c r="E19" s="46">
        <v>3</v>
      </c>
      <c r="F19" s="46"/>
      <c r="G19" s="46"/>
      <c r="H19" s="46">
        <v>121</v>
      </c>
      <c r="I19" s="46"/>
      <c r="J19" s="46"/>
      <c r="K19" s="47"/>
      <c r="L19" s="47"/>
      <c r="M19" s="47"/>
      <c r="N19" s="47"/>
      <c r="O19" s="47"/>
      <c r="P19" s="47"/>
      <c r="Q19" s="47"/>
      <c r="R19" s="47"/>
      <c r="S19" s="47"/>
      <c r="T19" s="29"/>
      <c r="U19" s="37"/>
      <c r="V19" s="37"/>
      <c r="W19" s="37"/>
      <c r="X19" s="37"/>
      <c r="Y19" s="37"/>
      <c r="Z19" s="37"/>
      <c r="AA19" s="127">
        <f t="shared" si="0"/>
        <v>0</v>
      </c>
      <c r="AB19" s="26" t="s">
        <v>37</v>
      </c>
    </row>
    <row r="20" spans="1:28" ht="16.5">
      <c r="A20" s="20">
        <v>35827</v>
      </c>
      <c r="B20" s="22" t="s">
        <v>34</v>
      </c>
      <c r="C20" s="21" t="s">
        <v>875</v>
      </c>
      <c r="D20" s="21" t="s">
        <v>872</v>
      </c>
      <c r="E20" s="46"/>
      <c r="F20" s="46"/>
      <c r="G20" s="46"/>
      <c r="H20" s="46"/>
      <c r="I20" s="46"/>
      <c r="J20" s="46"/>
      <c r="K20" s="47"/>
      <c r="L20" s="47"/>
      <c r="M20" s="47"/>
      <c r="N20" s="47"/>
      <c r="O20" s="47"/>
      <c r="P20" s="47"/>
      <c r="Q20" s="47"/>
      <c r="R20" s="47"/>
      <c r="S20" s="47"/>
      <c r="T20" s="29" t="s">
        <v>35</v>
      </c>
      <c r="U20" s="37"/>
      <c r="V20" s="37"/>
      <c r="W20" s="37"/>
      <c r="X20" s="37"/>
      <c r="Y20" s="37"/>
      <c r="Z20" s="37"/>
      <c r="AA20" s="127">
        <f t="shared" si="0"/>
        <v>0</v>
      </c>
      <c r="AB20" s="26"/>
    </row>
    <row r="21" spans="1:28" ht="41.25">
      <c r="A21" s="20">
        <v>35827</v>
      </c>
      <c r="B21" s="22" t="s">
        <v>34</v>
      </c>
      <c r="C21" s="21" t="s">
        <v>875</v>
      </c>
      <c r="D21" s="21" t="s">
        <v>884</v>
      </c>
      <c r="E21" s="46"/>
      <c r="F21" s="46"/>
      <c r="G21" s="46"/>
      <c r="H21" s="46"/>
      <c r="I21" s="46"/>
      <c r="J21" s="46"/>
      <c r="K21" s="47"/>
      <c r="L21" s="47"/>
      <c r="M21" s="47"/>
      <c r="N21" s="47"/>
      <c r="O21" s="47"/>
      <c r="P21" s="47"/>
      <c r="Q21" s="47"/>
      <c r="R21" s="47"/>
      <c r="S21" s="47"/>
      <c r="T21" s="29" t="s">
        <v>38</v>
      </c>
      <c r="U21" s="37"/>
      <c r="V21" s="37"/>
      <c r="W21" s="37"/>
      <c r="X21" s="37"/>
      <c r="Y21" s="37"/>
      <c r="Z21" s="37"/>
      <c r="AA21" s="127">
        <f t="shared" si="0"/>
        <v>0</v>
      </c>
      <c r="AB21" s="26"/>
    </row>
    <row r="22" spans="1:28" ht="12.75">
      <c r="A22" s="20">
        <v>35829</v>
      </c>
      <c r="B22" s="21" t="s">
        <v>820</v>
      </c>
      <c r="C22" s="21" t="s">
        <v>908</v>
      </c>
      <c r="D22" s="21" t="s">
        <v>891</v>
      </c>
      <c r="E22" s="46"/>
      <c r="F22" s="46"/>
      <c r="G22" s="46"/>
      <c r="H22" s="46">
        <v>150</v>
      </c>
      <c r="I22" s="46">
        <v>30</v>
      </c>
      <c r="J22" s="46"/>
      <c r="K22" s="47"/>
      <c r="L22" s="47"/>
      <c r="M22" s="47"/>
      <c r="N22" s="47"/>
      <c r="O22" s="47"/>
      <c r="P22" s="47"/>
      <c r="Q22" s="47"/>
      <c r="R22" s="47"/>
      <c r="S22" s="47"/>
      <c r="T22" s="29"/>
      <c r="U22" s="37"/>
      <c r="V22" s="37"/>
      <c r="W22" s="37"/>
      <c r="X22" s="37"/>
      <c r="Y22" s="37"/>
      <c r="Z22" s="37"/>
      <c r="AA22" s="127">
        <f t="shared" si="0"/>
        <v>0</v>
      </c>
      <c r="AB22" s="26" t="s">
        <v>909</v>
      </c>
    </row>
    <row r="23" spans="1:28" ht="24.75">
      <c r="A23" s="20">
        <v>35830</v>
      </c>
      <c r="B23" s="22" t="s">
        <v>16</v>
      </c>
      <c r="C23" s="21" t="s">
        <v>17</v>
      </c>
      <c r="D23" s="21" t="s">
        <v>872</v>
      </c>
      <c r="E23" s="46"/>
      <c r="F23" s="46"/>
      <c r="G23" s="46"/>
      <c r="H23" s="46"/>
      <c r="I23" s="46"/>
      <c r="J23" s="46"/>
      <c r="K23" s="47"/>
      <c r="L23" s="47"/>
      <c r="M23" s="47"/>
      <c r="N23" s="47"/>
      <c r="O23" s="47"/>
      <c r="P23" s="47"/>
      <c r="Q23" s="47"/>
      <c r="R23" s="47"/>
      <c r="S23" s="47"/>
      <c r="T23" s="29" t="s">
        <v>18</v>
      </c>
      <c r="U23" s="37"/>
      <c r="V23" s="37"/>
      <c r="W23" s="37"/>
      <c r="X23" s="37"/>
      <c r="Y23" s="37"/>
      <c r="Z23" s="37"/>
      <c r="AA23" s="127">
        <f t="shared" si="0"/>
        <v>0</v>
      </c>
      <c r="AB23" s="26" t="s">
        <v>21</v>
      </c>
    </row>
    <row r="24" spans="1:28" ht="12.75">
      <c r="A24" s="20">
        <v>35831</v>
      </c>
      <c r="B24" s="22" t="s">
        <v>41</v>
      </c>
      <c r="C24" s="21" t="s">
        <v>42</v>
      </c>
      <c r="D24" s="21" t="s">
        <v>36</v>
      </c>
      <c r="E24" s="46">
        <v>2</v>
      </c>
      <c r="F24" s="46"/>
      <c r="G24" s="46"/>
      <c r="H24" s="46">
        <v>584</v>
      </c>
      <c r="I24" s="46"/>
      <c r="J24" s="46"/>
      <c r="K24" s="47"/>
      <c r="L24" s="47"/>
      <c r="M24" s="47"/>
      <c r="N24" s="47"/>
      <c r="O24" s="47"/>
      <c r="P24" s="47"/>
      <c r="Q24" s="47"/>
      <c r="R24" s="47"/>
      <c r="S24" s="47"/>
      <c r="T24" s="29"/>
      <c r="U24" s="37">
        <v>5025364.5</v>
      </c>
      <c r="V24" s="37"/>
      <c r="W24" s="37"/>
      <c r="X24" s="37"/>
      <c r="Y24" s="37"/>
      <c r="Z24" s="37"/>
      <c r="AA24" s="127">
        <f t="shared" si="0"/>
        <v>5025364.5</v>
      </c>
      <c r="AB24" s="26"/>
    </row>
    <row r="25" spans="1:28" ht="16.5">
      <c r="A25" s="20">
        <v>35832</v>
      </c>
      <c r="B25" s="22" t="s">
        <v>829</v>
      </c>
      <c r="C25" s="21" t="s">
        <v>910</v>
      </c>
      <c r="D25" s="21" t="s">
        <v>911</v>
      </c>
      <c r="E25" s="46"/>
      <c r="F25" s="46"/>
      <c r="G25" s="46"/>
      <c r="H25" s="46"/>
      <c r="I25" s="46"/>
      <c r="J25" s="46"/>
      <c r="K25" s="47"/>
      <c r="L25" s="47"/>
      <c r="M25" s="47"/>
      <c r="N25" s="47"/>
      <c r="O25" s="47"/>
      <c r="P25" s="47"/>
      <c r="Q25" s="47"/>
      <c r="R25" s="47">
        <v>1</v>
      </c>
      <c r="S25" s="47"/>
      <c r="T25" s="29"/>
      <c r="U25" s="37"/>
      <c r="V25" s="37"/>
      <c r="W25" s="37">
        <v>350000</v>
      </c>
      <c r="X25" s="37"/>
      <c r="Y25" s="37"/>
      <c r="Z25" s="37"/>
      <c r="AA25" s="127">
        <f t="shared" si="0"/>
        <v>350000</v>
      </c>
      <c r="AB25" s="26" t="s">
        <v>912</v>
      </c>
    </row>
    <row r="26" spans="1:28" ht="12.75">
      <c r="A26" s="20">
        <v>35834</v>
      </c>
      <c r="B26" s="22" t="s">
        <v>899</v>
      </c>
      <c r="C26" s="21" t="s">
        <v>46</v>
      </c>
      <c r="D26" s="21" t="s">
        <v>891</v>
      </c>
      <c r="E26" s="46"/>
      <c r="F26" s="46"/>
      <c r="G26" s="46"/>
      <c r="H26" s="46">
        <v>75</v>
      </c>
      <c r="I26" s="46">
        <v>15</v>
      </c>
      <c r="J26" s="46"/>
      <c r="K26" s="47">
        <v>15</v>
      </c>
      <c r="L26" s="47">
        <v>11</v>
      </c>
      <c r="M26" s="47"/>
      <c r="N26" s="47"/>
      <c r="O26" s="47">
        <v>1</v>
      </c>
      <c r="P26" s="47">
        <v>1</v>
      </c>
      <c r="Q26" s="47"/>
      <c r="R26" s="47"/>
      <c r="S26" s="47"/>
      <c r="T26" s="29"/>
      <c r="U26" s="37">
        <v>9813600</v>
      </c>
      <c r="V26" s="37">
        <v>10350000</v>
      </c>
      <c r="W26" s="37"/>
      <c r="X26" s="37"/>
      <c r="Y26" s="37"/>
      <c r="Z26" s="37"/>
      <c r="AA26" s="127">
        <f t="shared" si="0"/>
        <v>20163600</v>
      </c>
      <c r="AB26" s="26" t="s">
        <v>47</v>
      </c>
    </row>
    <row r="27" spans="1:28" ht="12.75">
      <c r="A27" s="20">
        <v>35834</v>
      </c>
      <c r="B27" s="22" t="s">
        <v>899</v>
      </c>
      <c r="C27" s="21" t="s">
        <v>900</v>
      </c>
      <c r="D27" s="21" t="s">
        <v>891</v>
      </c>
      <c r="E27" s="46"/>
      <c r="F27" s="46"/>
      <c r="G27" s="46"/>
      <c r="H27" s="46">
        <v>47</v>
      </c>
      <c r="I27" s="46">
        <v>35</v>
      </c>
      <c r="J27" s="46">
        <v>24</v>
      </c>
      <c r="K27" s="47"/>
      <c r="L27" s="47"/>
      <c r="M27" s="47"/>
      <c r="N27" s="47"/>
      <c r="O27" s="47"/>
      <c r="P27" s="47"/>
      <c r="Q27" s="47"/>
      <c r="R27" s="47"/>
      <c r="S27" s="47"/>
      <c r="T27" s="29"/>
      <c r="U27" s="37">
        <v>408900</v>
      </c>
      <c r="V27" s="37">
        <v>575000</v>
      </c>
      <c r="W27" s="37"/>
      <c r="X27" s="37"/>
      <c r="Y27" s="37"/>
      <c r="Z27" s="37"/>
      <c r="AA27" s="127">
        <f t="shared" si="0"/>
        <v>983900</v>
      </c>
      <c r="AB27" s="26"/>
    </row>
    <row r="28" spans="1:28" ht="33">
      <c r="A28" s="20">
        <v>35834</v>
      </c>
      <c r="B28" s="22" t="s">
        <v>899</v>
      </c>
      <c r="C28" s="21" t="s">
        <v>44</v>
      </c>
      <c r="D28" s="21" t="s">
        <v>821</v>
      </c>
      <c r="E28" s="46">
        <v>1</v>
      </c>
      <c r="F28" s="46">
        <v>4</v>
      </c>
      <c r="G28" s="46"/>
      <c r="H28" s="46">
        <v>998</v>
      </c>
      <c r="I28" s="46">
        <v>196</v>
      </c>
      <c r="J28" s="46">
        <v>2</v>
      </c>
      <c r="K28" s="47"/>
      <c r="L28" s="47">
        <v>1</v>
      </c>
      <c r="M28" s="47"/>
      <c r="N28" s="47"/>
      <c r="O28" s="47">
        <v>1</v>
      </c>
      <c r="P28" s="47"/>
      <c r="Q28" s="47"/>
      <c r="R28" s="47"/>
      <c r="S28" s="47"/>
      <c r="T28" s="29"/>
      <c r="U28" s="37">
        <v>1363000</v>
      </c>
      <c r="V28" s="37"/>
      <c r="W28" s="37"/>
      <c r="X28" s="37"/>
      <c r="Y28" s="37"/>
      <c r="Z28" s="37"/>
      <c r="AA28" s="127">
        <f t="shared" si="0"/>
        <v>1363000</v>
      </c>
      <c r="AB28" s="26" t="s">
        <v>45</v>
      </c>
    </row>
    <row r="29" spans="1:28" ht="16.5">
      <c r="A29" s="20">
        <v>35845</v>
      </c>
      <c r="B29" s="22" t="s">
        <v>829</v>
      </c>
      <c r="C29" s="21" t="s">
        <v>913</v>
      </c>
      <c r="D29" s="21" t="s">
        <v>884</v>
      </c>
      <c r="E29" s="46"/>
      <c r="F29" s="46"/>
      <c r="G29" s="46"/>
      <c r="H29" s="46"/>
      <c r="I29" s="46"/>
      <c r="J29" s="46"/>
      <c r="K29" s="47"/>
      <c r="L29" s="47"/>
      <c r="M29" s="47"/>
      <c r="N29" s="47"/>
      <c r="O29" s="47"/>
      <c r="P29" s="47"/>
      <c r="Q29" s="47"/>
      <c r="R29" s="47"/>
      <c r="S29" s="47"/>
      <c r="T29" s="29"/>
      <c r="U29" s="37"/>
      <c r="V29" s="37">
        <v>4600000</v>
      </c>
      <c r="W29" s="37"/>
      <c r="X29" s="37"/>
      <c r="Y29" s="37"/>
      <c r="Z29" s="37"/>
      <c r="AA29" s="127">
        <f t="shared" si="0"/>
        <v>4600000</v>
      </c>
      <c r="AB29" s="26" t="s">
        <v>0</v>
      </c>
    </row>
    <row r="30" spans="1:28" ht="16.5">
      <c r="A30" s="20">
        <v>35848</v>
      </c>
      <c r="B30" s="22" t="s">
        <v>829</v>
      </c>
      <c r="C30" s="21" t="s">
        <v>1</v>
      </c>
      <c r="D30" s="21" t="s">
        <v>872</v>
      </c>
      <c r="E30" s="46"/>
      <c r="F30" s="46"/>
      <c r="G30" s="46"/>
      <c r="H30" s="46"/>
      <c r="I30" s="46"/>
      <c r="J30" s="46"/>
      <c r="K30" s="47"/>
      <c r="L30" s="47"/>
      <c r="M30" s="47"/>
      <c r="N30" s="47"/>
      <c r="O30" s="47"/>
      <c r="P30" s="47"/>
      <c r="Q30" s="47"/>
      <c r="R30" s="47"/>
      <c r="S30" s="47"/>
      <c r="T30" s="29"/>
      <c r="U30" s="37"/>
      <c r="V30" s="37"/>
      <c r="W30" s="37"/>
      <c r="X30" s="37"/>
      <c r="Y30" s="37"/>
      <c r="Z30" s="37"/>
      <c r="AA30" s="127">
        <f t="shared" si="0"/>
        <v>0</v>
      </c>
      <c r="AB30" s="26" t="s">
        <v>2</v>
      </c>
    </row>
    <row r="31" spans="1:28" ht="22.5">
      <c r="A31" s="20">
        <v>35849</v>
      </c>
      <c r="B31" s="22" t="s">
        <v>820</v>
      </c>
      <c r="C31" s="21" t="s">
        <v>873</v>
      </c>
      <c r="D31" s="21" t="s">
        <v>821</v>
      </c>
      <c r="E31" s="46"/>
      <c r="F31" s="46"/>
      <c r="G31" s="46"/>
      <c r="H31" s="46"/>
      <c r="I31" s="46"/>
      <c r="J31" s="46"/>
      <c r="K31" s="47"/>
      <c r="L31" s="47"/>
      <c r="M31" s="47"/>
      <c r="N31" s="47"/>
      <c r="O31" s="47"/>
      <c r="P31" s="47"/>
      <c r="Q31" s="47"/>
      <c r="R31" s="47"/>
      <c r="S31" s="47"/>
      <c r="T31" s="29"/>
      <c r="U31" s="37"/>
      <c r="V31" s="37">
        <v>13800000</v>
      </c>
      <c r="W31" s="37"/>
      <c r="X31" s="37"/>
      <c r="Y31" s="37"/>
      <c r="Z31" s="37"/>
      <c r="AA31" s="127">
        <f t="shared" si="0"/>
        <v>13800000</v>
      </c>
      <c r="AB31" s="26"/>
    </row>
    <row r="32" spans="1:28" ht="12.75">
      <c r="A32" s="20">
        <v>35849</v>
      </c>
      <c r="B32" s="22" t="s">
        <v>22</v>
      </c>
      <c r="C32" s="21" t="s">
        <v>23</v>
      </c>
      <c r="D32" s="21" t="s">
        <v>821</v>
      </c>
      <c r="E32" s="46"/>
      <c r="F32" s="46"/>
      <c r="G32" s="46"/>
      <c r="H32" s="46"/>
      <c r="I32" s="46"/>
      <c r="J32" s="46"/>
      <c r="K32" s="47"/>
      <c r="L32" s="47"/>
      <c r="M32" s="47"/>
      <c r="N32" s="47"/>
      <c r="O32" s="47"/>
      <c r="P32" s="47"/>
      <c r="Q32" s="47"/>
      <c r="R32" s="47"/>
      <c r="S32" s="47"/>
      <c r="T32" s="29"/>
      <c r="U32" s="143"/>
      <c r="V32" s="143">
        <v>9200000</v>
      </c>
      <c r="W32" s="143"/>
      <c r="X32" s="37"/>
      <c r="Y32" s="37"/>
      <c r="Z32" s="37"/>
      <c r="AA32" s="127">
        <f t="shared" si="0"/>
        <v>9200000</v>
      </c>
      <c r="AB32" s="26"/>
    </row>
    <row r="33" spans="1:28" ht="22.5">
      <c r="A33" s="20">
        <v>35849</v>
      </c>
      <c r="B33" s="22" t="s">
        <v>904</v>
      </c>
      <c r="C33" s="21" t="s">
        <v>905</v>
      </c>
      <c r="D33" s="21" t="s">
        <v>911</v>
      </c>
      <c r="E33" s="46"/>
      <c r="F33" s="46"/>
      <c r="G33" s="46"/>
      <c r="H33" s="46">
        <v>220</v>
      </c>
      <c r="I33" s="46">
        <v>44</v>
      </c>
      <c r="J33" s="46"/>
      <c r="K33" s="47">
        <v>44</v>
      </c>
      <c r="L33" s="47"/>
      <c r="M33" s="47"/>
      <c r="N33" s="47"/>
      <c r="O33" s="47"/>
      <c r="P33" s="47"/>
      <c r="Q33" s="47"/>
      <c r="R33" s="47"/>
      <c r="S33" s="47"/>
      <c r="T33" s="29"/>
      <c r="U33" s="37"/>
      <c r="V33" s="37"/>
      <c r="W33" s="37"/>
      <c r="X33" s="37"/>
      <c r="Y33" s="37"/>
      <c r="Z33" s="37">
        <v>5000000</v>
      </c>
      <c r="AA33" s="127">
        <f t="shared" si="0"/>
        <v>5000000</v>
      </c>
      <c r="AB33" s="26" t="s">
        <v>51</v>
      </c>
    </row>
    <row r="34" spans="1:28" ht="12.75">
      <c r="A34" s="20">
        <v>35850</v>
      </c>
      <c r="B34" s="22" t="s">
        <v>39</v>
      </c>
      <c r="C34" s="21" t="s">
        <v>255</v>
      </c>
      <c r="D34" s="21" t="s">
        <v>884</v>
      </c>
      <c r="E34" s="46"/>
      <c r="F34" s="46"/>
      <c r="G34" s="46"/>
      <c r="H34" s="46"/>
      <c r="I34" s="46"/>
      <c r="J34" s="46"/>
      <c r="K34" s="47"/>
      <c r="L34" s="47"/>
      <c r="M34" s="47"/>
      <c r="N34" s="47"/>
      <c r="O34" s="47"/>
      <c r="P34" s="47"/>
      <c r="Q34" s="47"/>
      <c r="R34" s="47"/>
      <c r="S34" s="47"/>
      <c r="T34" s="29"/>
      <c r="U34" s="37"/>
      <c r="V34" s="37">
        <v>23000000</v>
      </c>
      <c r="W34" s="37"/>
      <c r="X34" s="37"/>
      <c r="Y34" s="37"/>
      <c r="Z34" s="37"/>
      <c r="AA34" s="127">
        <f t="shared" si="0"/>
        <v>23000000</v>
      </c>
      <c r="AB34" s="26"/>
    </row>
    <row r="35" spans="1:28" ht="16.5">
      <c r="A35" s="20">
        <v>35851</v>
      </c>
      <c r="B35" s="22" t="s">
        <v>49</v>
      </c>
      <c r="C35" s="21" t="s">
        <v>50</v>
      </c>
      <c r="D35" s="21" t="s">
        <v>884</v>
      </c>
      <c r="E35" s="46"/>
      <c r="F35" s="46"/>
      <c r="G35" s="46"/>
      <c r="H35" s="46">
        <v>79</v>
      </c>
      <c r="I35" s="46">
        <v>16</v>
      </c>
      <c r="J35" s="46"/>
      <c r="K35" s="47"/>
      <c r="L35" s="47"/>
      <c r="M35" s="47"/>
      <c r="N35" s="47"/>
      <c r="O35" s="47"/>
      <c r="P35" s="47"/>
      <c r="Q35" s="47"/>
      <c r="R35" s="47"/>
      <c r="S35" s="47"/>
      <c r="T35" s="29" t="s">
        <v>53</v>
      </c>
      <c r="U35" s="37">
        <v>2812095.6</v>
      </c>
      <c r="V35" s="37">
        <v>690000</v>
      </c>
      <c r="W35" s="37"/>
      <c r="X35" s="37"/>
      <c r="Y35" s="37"/>
      <c r="Z35" s="37"/>
      <c r="AA35" s="127">
        <f t="shared" si="0"/>
        <v>3502095.6</v>
      </c>
      <c r="AB35" s="26" t="s">
        <v>52</v>
      </c>
    </row>
    <row r="36" spans="1:28" ht="16.5">
      <c r="A36" s="20">
        <v>35852</v>
      </c>
      <c r="B36" s="22" t="s">
        <v>829</v>
      </c>
      <c r="C36" s="21" t="s">
        <v>3</v>
      </c>
      <c r="D36" s="21" t="s">
        <v>872</v>
      </c>
      <c r="E36" s="46"/>
      <c r="F36" s="46"/>
      <c r="G36" s="46"/>
      <c r="H36" s="46"/>
      <c r="I36" s="46"/>
      <c r="J36" s="46"/>
      <c r="K36" s="47"/>
      <c r="L36" s="47"/>
      <c r="M36" s="47"/>
      <c r="N36" s="47"/>
      <c r="O36" s="47"/>
      <c r="P36" s="47"/>
      <c r="Q36" s="47"/>
      <c r="R36" s="47"/>
      <c r="S36" s="47"/>
      <c r="T36" s="29"/>
      <c r="U36" s="37"/>
      <c r="V36" s="37"/>
      <c r="W36" s="37"/>
      <c r="X36" s="37"/>
      <c r="Y36" s="37"/>
      <c r="Z36" s="37"/>
      <c r="AA36" s="127">
        <f t="shared" si="0"/>
        <v>0</v>
      </c>
      <c r="AB36" s="26" t="s">
        <v>9</v>
      </c>
    </row>
    <row r="37" spans="1:28" ht="12.75">
      <c r="A37" s="20">
        <v>35852</v>
      </c>
      <c r="B37" s="22" t="s">
        <v>13</v>
      </c>
      <c r="C37" s="21" t="s">
        <v>14</v>
      </c>
      <c r="D37" s="21" t="s">
        <v>884</v>
      </c>
      <c r="E37" s="46"/>
      <c r="F37" s="46"/>
      <c r="G37" s="46"/>
      <c r="H37" s="46"/>
      <c r="I37" s="46"/>
      <c r="J37" s="46"/>
      <c r="K37" s="47"/>
      <c r="L37" s="47"/>
      <c r="M37" s="47"/>
      <c r="N37" s="47"/>
      <c r="O37" s="47"/>
      <c r="P37" s="47"/>
      <c r="Q37" s="47"/>
      <c r="R37" s="47"/>
      <c r="S37" s="47"/>
      <c r="T37" s="29"/>
      <c r="U37" s="37"/>
      <c r="V37" s="37"/>
      <c r="W37" s="37"/>
      <c r="X37" s="37"/>
      <c r="Y37" s="37">
        <v>19163509</v>
      </c>
      <c r="Z37" s="37"/>
      <c r="AA37" s="127">
        <f t="shared" si="0"/>
        <v>19163509</v>
      </c>
      <c r="AB37" s="26" t="s">
        <v>15</v>
      </c>
    </row>
    <row r="38" spans="1:28" ht="12.75">
      <c r="A38" s="20">
        <v>35852</v>
      </c>
      <c r="B38" s="22" t="s">
        <v>48</v>
      </c>
      <c r="C38" s="21" t="s">
        <v>48</v>
      </c>
      <c r="D38" s="21" t="s">
        <v>884</v>
      </c>
      <c r="E38" s="46"/>
      <c r="F38" s="46"/>
      <c r="G38" s="46"/>
      <c r="H38" s="46"/>
      <c r="I38" s="46"/>
      <c r="J38" s="46"/>
      <c r="K38" s="47"/>
      <c r="L38" s="47"/>
      <c r="M38" s="47"/>
      <c r="N38" s="47"/>
      <c r="O38" s="47"/>
      <c r="P38" s="47"/>
      <c r="Q38" s="47"/>
      <c r="R38" s="47"/>
      <c r="S38" s="47"/>
      <c r="T38" s="29"/>
      <c r="U38" s="37"/>
      <c r="V38" s="37">
        <v>17710000</v>
      </c>
      <c r="W38" s="37"/>
      <c r="X38" s="37"/>
      <c r="Y38" s="37"/>
      <c r="Z38" s="37"/>
      <c r="AA38" s="127">
        <f t="shared" si="0"/>
        <v>17710000</v>
      </c>
      <c r="AB38" s="26"/>
    </row>
    <row r="39" spans="1:28" ht="12.75">
      <c r="A39" s="20">
        <v>35852</v>
      </c>
      <c r="B39" s="22" t="s">
        <v>49</v>
      </c>
      <c r="C39" s="21" t="s">
        <v>54</v>
      </c>
      <c r="D39" s="21" t="s">
        <v>36</v>
      </c>
      <c r="E39" s="46"/>
      <c r="F39" s="46"/>
      <c r="G39" s="46"/>
      <c r="H39" s="46">
        <v>1000</v>
      </c>
      <c r="I39" s="46">
        <v>200</v>
      </c>
      <c r="J39" s="46"/>
      <c r="K39" s="47"/>
      <c r="L39" s="47"/>
      <c r="M39" s="47"/>
      <c r="N39" s="47"/>
      <c r="O39" s="47"/>
      <c r="P39" s="47"/>
      <c r="Q39" s="47"/>
      <c r="R39" s="47"/>
      <c r="S39" s="47"/>
      <c r="T39" s="29"/>
      <c r="U39" s="37"/>
      <c r="V39" s="37">
        <v>6900000</v>
      </c>
      <c r="W39" s="37"/>
      <c r="X39" s="37"/>
      <c r="Y39" s="37"/>
      <c r="Z39" s="37"/>
      <c r="AA39" s="127">
        <f t="shared" si="0"/>
        <v>6900000</v>
      </c>
      <c r="AB39" s="26"/>
    </row>
    <row r="40" spans="1:28" ht="16.5">
      <c r="A40" s="20">
        <v>35854</v>
      </c>
      <c r="B40" s="22" t="s">
        <v>829</v>
      </c>
      <c r="C40" s="21" t="s">
        <v>875</v>
      </c>
      <c r="D40" s="21" t="s">
        <v>872</v>
      </c>
      <c r="E40" s="46"/>
      <c r="F40" s="46"/>
      <c r="G40" s="46"/>
      <c r="H40" s="46"/>
      <c r="I40" s="46"/>
      <c r="J40" s="46"/>
      <c r="K40" s="47"/>
      <c r="L40" s="47"/>
      <c r="M40" s="47"/>
      <c r="N40" s="47"/>
      <c r="O40" s="47"/>
      <c r="P40" s="47"/>
      <c r="Q40" s="47"/>
      <c r="R40" s="47"/>
      <c r="S40" s="47"/>
      <c r="T40" s="29"/>
      <c r="U40" s="37"/>
      <c r="V40" s="37"/>
      <c r="W40" s="37"/>
      <c r="X40" s="37"/>
      <c r="Y40" s="37"/>
      <c r="Z40" s="37"/>
      <c r="AA40" s="127">
        <f t="shared" si="0"/>
        <v>0</v>
      </c>
      <c r="AB40" s="26" t="s">
        <v>10</v>
      </c>
    </row>
    <row r="41" spans="1:28" ht="12.75">
      <c r="A41" s="20">
        <v>35854</v>
      </c>
      <c r="B41" s="22" t="s">
        <v>11</v>
      </c>
      <c r="C41" s="21" t="s">
        <v>875</v>
      </c>
      <c r="D41" s="21" t="s">
        <v>872</v>
      </c>
      <c r="E41" s="46"/>
      <c r="F41" s="46"/>
      <c r="G41" s="46"/>
      <c r="H41" s="46"/>
      <c r="I41" s="46"/>
      <c r="J41" s="46"/>
      <c r="K41" s="47"/>
      <c r="L41" s="47"/>
      <c r="M41" s="47"/>
      <c r="N41" s="47"/>
      <c r="O41" s="47"/>
      <c r="P41" s="47"/>
      <c r="Q41" s="47"/>
      <c r="R41" s="47"/>
      <c r="S41" s="47"/>
      <c r="T41" s="29"/>
      <c r="U41" s="37"/>
      <c r="V41" s="37"/>
      <c r="W41" s="37"/>
      <c r="X41" s="37"/>
      <c r="Y41" s="37"/>
      <c r="Z41" s="37"/>
      <c r="AA41" s="127">
        <f t="shared" si="0"/>
        <v>0</v>
      </c>
      <c r="AB41" s="26" t="s">
        <v>12</v>
      </c>
    </row>
    <row r="42" spans="1:28" ht="24.75">
      <c r="A42" s="20">
        <v>35855</v>
      </c>
      <c r="B42" s="22" t="s">
        <v>820</v>
      </c>
      <c r="C42" s="21" t="s">
        <v>875</v>
      </c>
      <c r="D42" s="21" t="s">
        <v>872</v>
      </c>
      <c r="E42" s="46"/>
      <c r="F42" s="46"/>
      <c r="G42" s="46"/>
      <c r="H42" s="46"/>
      <c r="I42" s="46"/>
      <c r="J42" s="46"/>
      <c r="K42" s="47"/>
      <c r="L42" s="47"/>
      <c r="M42" s="47"/>
      <c r="N42" s="47"/>
      <c r="O42" s="47"/>
      <c r="P42" s="47"/>
      <c r="Q42" s="47"/>
      <c r="R42" s="47"/>
      <c r="S42" s="47"/>
      <c r="T42" s="29"/>
      <c r="U42" s="37"/>
      <c r="V42" s="37"/>
      <c r="W42" s="37"/>
      <c r="X42" s="37"/>
      <c r="Y42" s="37"/>
      <c r="Z42" s="37"/>
      <c r="AA42" s="127">
        <f t="shared" si="0"/>
        <v>0</v>
      </c>
      <c r="AB42" s="26" t="s">
        <v>55</v>
      </c>
    </row>
    <row r="43" spans="1:28" ht="12.75">
      <c r="A43" s="20">
        <v>35855</v>
      </c>
      <c r="B43" s="22" t="s">
        <v>889</v>
      </c>
      <c r="C43" s="21" t="s">
        <v>85</v>
      </c>
      <c r="D43" s="21" t="s">
        <v>25</v>
      </c>
      <c r="E43" s="46"/>
      <c r="F43" s="46"/>
      <c r="G43" s="46"/>
      <c r="H43" s="46">
        <v>150</v>
      </c>
      <c r="I43" s="46">
        <v>30</v>
      </c>
      <c r="J43" s="46"/>
      <c r="K43" s="47">
        <v>30</v>
      </c>
      <c r="L43" s="47"/>
      <c r="M43" s="47"/>
      <c r="N43" s="47"/>
      <c r="O43" s="47"/>
      <c r="P43" s="47"/>
      <c r="Q43" s="47"/>
      <c r="R43" s="47"/>
      <c r="S43" s="47"/>
      <c r="T43" s="29"/>
      <c r="U43" s="37"/>
      <c r="V43" s="37"/>
      <c r="W43" s="37"/>
      <c r="X43" s="37"/>
      <c r="Y43" s="37"/>
      <c r="Z43" s="37"/>
      <c r="AA43" s="127">
        <f t="shared" si="0"/>
        <v>0</v>
      </c>
      <c r="AB43" s="26" t="s">
        <v>91</v>
      </c>
    </row>
    <row r="44" spans="1:28" ht="24.75">
      <c r="A44" s="20">
        <v>35856</v>
      </c>
      <c r="B44" s="22" t="s">
        <v>77</v>
      </c>
      <c r="C44" s="21" t="s">
        <v>78</v>
      </c>
      <c r="D44" s="21" t="s">
        <v>911</v>
      </c>
      <c r="E44" s="46"/>
      <c r="F44" s="46"/>
      <c r="G44" s="46"/>
      <c r="H44" s="46">
        <v>1735</v>
      </c>
      <c r="I44" s="46">
        <v>347</v>
      </c>
      <c r="J44" s="46">
        <v>13</v>
      </c>
      <c r="K44" s="47">
        <v>150</v>
      </c>
      <c r="L44" s="47"/>
      <c r="M44" s="47"/>
      <c r="N44" s="47"/>
      <c r="O44" s="47"/>
      <c r="P44" s="47"/>
      <c r="Q44" s="47"/>
      <c r="R44" s="47">
        <v>19</v>
      </c>
      <c r="S44" s="47"/>
      <c r="T44" s="29" t="s">
        <v>79</v>
      </c>
      <c r="U44" s="37"/>
      <c r="V44" s="37">
        <v>11500000</v>
      </c>
      <c r="W44" s="37">
        <v>6883440</v>
      </c>
      <c r="X44" s="37"/>
      <c r="Y44" s="37"/>
      <c r="Z44" s="37"/>
      <c r="AA44" s="127">
        <f t="shared" si="0"/>
        <v>18383440</v>
      </c>
      <c r="AB44" s="26"/>
    </row>
    <row r="45" spans="1:28" ht="12.75">
      <c r="A45" s="20">
        <v>35856</v>
      </c>
      <c r="B45" s="22" t="s">
        <v>92</v>
      </c>
      <c r="C45" s="21" t="s">
        <v>93</v>
      </c>
      <c r="D45" s="21" t="s">
        <v>821</v>
      </c>
      <c r="E45" s="46"/>
      <c r="F45" s="46"/>
      <c r="G45" s="46"/>
      <c r="H45" s="46">
        <v>132</v>
      </c>
      <c r="I45" s="46">
        <v>33</v>
      </c>
      <c r="J45" s="46"/>
      <c r="K45" s="47"/>
      <c r="L45" s="47"/>
      <c r="M45" s="47"/>
      <c r="N45" s="47"/>
      <c r="O45" s="47"/>
      <c r="P45" s="47"/>
      <c r="Q45" s="47"/>
      <c r="R45" s="47"/>
      <c r="S45" s="47"/>
      <c r="T45" s="29" t="s">
        <v>94</v>
      </c>
      <c r="U45" s="37"/>
      <c r="V45" s="37">
        <v>3036000</v>
      </c>
      <c r="W45" s="37"/>
      <c r="X45" s="37"/>
      <c r="Y45" s="37"/>
      <c r="Z45" s="37"/>
      <c r="AA45" s="127">
        <f t="shared" si="0"/>
        <v>3036000</v>
      </c>
      <c r="AB45" s="26" t="s">
        <v>95</v>
      </c>
    </row>
    <row r="46" spans="1:28" ht="41.25">
      <c r="A46" s="20">
        <v>35857</v>
      </c>
      <c r="B46" s="22" t="s">
        <v>34</v>
      </c>
      <c r="C46" s="21" t="s">
        <v>875</v>
      </c>
      <c r="D46" s="21" t="s">
        <v>911</v>
      </c>
      <c r="E46" s="46"/>
      <c r="F46" s="46"/>
      <c r="G46" s="46"/>
      <c r="H46" s="46"/>
      <c r="I46" s="46"/>
      <c r="J46" s="46"/>
      <c r="K46" s="47"/>
      <c r="L46" s="47"/>
      <c r="M46" s="47"/>
      <c r="N46" s="47"/>
      <c r="O46" s="47"/>
      <c r="P46" s="47"/>
      <c r="Q46" s="47"/>
      <c r="R46" s="47"/>
      <c r="S46" s="47"/>
      <c r="T46" s="29"/>
      <c r="U46" s="37">
        <v>20235456</v>
      </c>
      <c r="V46" s="37">
        <v>4600000</v>
      </c>
      <c r="W46" s="37"/>
      <c r="X46" s="37"/>
      <c r="Y46" s="37"/>
      <c r="Z46" s="37"/>
      <c r="AA46" s="127">
        <f t="shared" si="0"/>
        <v>24835456</v>
      </c>
      <c r="AB46" s="26" t="s">
        <v>632</v>
      </c>
    </row>
    <row r="47" spans="1:28" ht="24.75">
      <c r="A47" s="20">
        <v>35857</v>
      </c>
      <c r="B47" s="22" t="s">
        <v>49</v>
      </c>
      <c r="C47" s="21" t="s">
        <v>54</v>
      </c>
      <c r="D47" s="21" t="s">
        <v>25</v>
      </c>
      <c r="E47" s="46"/>
      <c r="F47" s="46"/>
      <c r="G47" s="46"/>
      <c r="H47" s="46">
        <v>100</v>
      </c>
      <c r="I47" s="46">
        <v>25</v>
      </c>
      <c r="J47" s="46">
        <v>4</v>
      </c>
      <c r="K47" s="47">
        <v>21</v>
      </c>
      <c r="L47" s="47">
        <v>1</v>
      </c>
      <c r="M47" s="47"/>
      <c r="N47" s="47"/>
      <c r="O47" s="47"/>
      <c r="P47" s="47"/>
      <c r="Q47" s="47"/>
      <c r="R47" s="47"/>
      <c r="S47" s="47"/>
      <c r="T47" s="29" t="s">
        <v>103</v>
      </c>
      <c r="U47" s="37">
        <v>2317745</v>
      </c>
      <c r="V47" s="37"/>
      <c r="W47" s="37">
        <v>7610759.999999999</v>
      </c>
      <c r="X47" s="37"/>
      <c r="Y47" s="37"/>
      <c r="Z47" s="37"/>
      <c r="AA47" s="127">
        <f t="shared" si="0"/>
        <v>9928505</v>
      </c>
      <c r="AB47" s="26" t="s">
        <v>104</v>
      </c>
    </row>
    <row r="48" spans="1:28" ht="16.5">
      <c r="A48" s="20">
        <v>35858</v>
      </c>
      <c r="B48" s="22" t="s">
        <v>22</v>
      </c>
      <c r="C48" s="21" t="s">
        <v>29</v>
      </c>
      <c r="D48" s="21" t="s">
        <v>821</v>
      </c>
      <c r="E48" s="46"/>
      <c r="F48" s="46"/>
      <c r="G48" s="46"/>
      <c r="H48" s="46">
        <v>150</v>
      </c>
      <c r="I48" s="46">
        <v>30</v>
      </c>
      <c r="J48" s="46">
        <v>30</v>
      </c>
      <c r="K48" s="47"/>
      <c r="L48" s="47"/>
      <c r="M48" s="47"/>
      <c r="N48" s="47"/>
      <c r="O48" s="47"/>
      <c r="P48" s="47"/>
      <c r="Q48" s="47"/>
      <c r="R48" s="47"/>
      <c r="S48" s="47"/>
      <c r="T48" s="29"/>
      <c r="U48" s="37"/>
      <c r="V48" s="37"/>
      <c r="W48" s="37"/>
      <c r="X48" s="37"/>
      <c r="Y48" s="37"/>
      <c r="Z48" s="37"/>
      <c r="AA48" s="127">
        <f t="shared" si="0"/>
        <v>0</v>
      </c>
      <c r="AB48" s="26" t="s">
        <v>76</v>
      </c>
    </row>
    <row r="49" spans="1:28" ht="12.75">
      <c r="A49" s="20">
        <v>35861</v>
      </c>
      <c r="B49" s="22" t="s">
        <v>889</v>
      </c>
      <c r="C49" s="21" t="s">
        <v>88</v>
      </c>
      <c r="D49" s="21" t="s">
        <v>911</v>
      </c>
      <c r="E49" s="46"/>
      <c r="F49" s="46"/>
      <c r="G49" s="46"/>
      <c r="H49" s="46">
        <v>250</v>
      </c>
      <c r="I49" s="46">
        <v>50</v>
      </c>
      <c r="J49" s="46"/>
      <c r="K49" s="47">
        <v>50</v>
      </c>
      <c r="L49" s="47"/>
      <c r="M49" s="47"/>
      <c r="N49" s="47"/>
      <c r="O49" s="47"/>
      <c r="P49" s="47"/>
      <c r="Q49" s="47"/>
      <c r="R49" s="47"/>
      <c r="S49" s="47"/>
      <c r="T49" s="29" t="s">
        <v>94</v>
      </c>
      <c r="U49" s="37"/>
      <c r="V49" s="37"/>
      <c r="W49" s="37"/>
      <c r="X49" s="37"/>
      <c r="Y49" s="37"/>
      <c r="Z49" s="37"/>
      <c r="AA49" s="127">
        <f t="shared" si="0"/>
        <v>0</v>
      </c>
      <c r="AB49" s="26" t="s">
        <v>89</v>
      </c>
    </row>
    <row r="50" spans="1:29" ht="12.75">
      <c r="A50" s="20">
        <v>35863</v>
      </c>
      <c r="B50" s="22" t="s">
        <v>39</v>
      </c>
      <c r="C50" s="21" t="s">
        <v>80</v>
      </c>
      <c r="D50" s="21" t="s">
        <v>911</v>
      </c>
      <c r="E50" s="46"/>
      <c r="F50" s="46">
        <v>1</v>
      </c>
      <c r="G50" s="46"/>
      <c r="H50" s="46">
        <v>205</v>
      </c>
      <c r="I50" s="46">
        <v>41</v>
      </c>
      <c r="J50" s="46"/>
      <c r="K50" s="47">
        <v>41</v>
      </c>
      <c r="L50" s="47"/>
      <c r="M50" s="47"/>
      <c r="N50" s="47"/>
      <c r="O50" s="47"/>
      <c r="P50" s="47"/>
      <c r="Q50" s="47"/>
      <c r="R50" s="47"/>
      <c r="S50" s="47"/>
      <c r="T50" s="29"/>
      <c r="U50" s="37"/>
      <c r="V50" s="37"/>
      <c r="W50" s="37">
        <v>6342091.2</v>
      </c>
      <c r="X50" s="37"/>
      <c r="Y50" s="37"/>
      <c r="Z50" s="37"/>
      <c r="AA50" s="127">
        <f t="shared" si="0"/>
        <v>6342091.2</v>
      </c>
      <c r="AB50" s="26"/>
      <c r="AC50" s="4" t="s">
        <v>594</v>
      </c>
    </row>
    <row r="51" spans="1:28" ht="12.75">
      <c r="A51" s="20">
        <v>35864</v>
      </c>
      <c r="B51" s="22" t="s">
        <v>13</v>
      </c>
      <c r="C51" s="21" t="s">
        <v>65</v>
      </c>
      <c r="D51" s="21" t="s">
        <v>911</v>
      </c>
      <c r="E51" s="46"/>
      <c r="F51" s="46"/>
      <c r="G51" s="46"/>
      <c r="H51" s="46">
        <v>477</v>
      </c>
      <c r="I51" s="46">
        <v>74</v>
      </c>
      <c r="J51" s="46"/>
      <c r="K51" s="47">
        <v>74</v>
      </c>
      <c r="L51" s="47"/>
      <c r="M51" s="47"/>
      <c r="N51" s="47"/>
      <c r="O51" s="47"/>
      <c r="P51" s="47"/>
      <c r="Q51" s="47"/>
      <c r="R51" s="47">
        <v>2</v>
      </c>
      <c r="S51" s="47"/>
      <c r="T51" s="29"/>
      <c r="U51" s="37"/>
      <c r="V51" s="37"/>
      <c r="W51" s="37">
        <v>4130064</v>
      </c>
      <c r="X51" s="37"/>
      <c r="Y51" s="37"/>
      <c r="Z51" s="37">
        <v>4000000</v>
      </c>
      <c r="AA51" s="127">
        <f t="shared" si="0"/>
        <v>8130064</v>
      </c>
      <c r="AB51" s="26" t="s">
        <v>66</v>
      </c>
    </row>
    <row r="52" spans="1:28" ht="33">
      <c r="A52" s="20">
        <v>35865</v>
      </c>
      <c r="B52" s="22" t="s">
        <v>882</v>
      </c>
      <c r="C52" s="21" t="s">
        <v>81</v>
      </c>
      <c r="D52" s="21" t="s">
        <v>82</v>
      </c>
      <c r="E52" s="46"/>
      <c r="F52" s="46"/>
      <c r="G52" s="46"/>
      <c r="H52" s="46"/>
      <c r="I52" s="46"/>
      <c r="J52" s="46"/>
      <c r="K52" s="47"/>
      <c r="L52" s="47"/>
      <c r="M52" s="47"/>
      <c r="N52" s="47"/>
      <c r="O52" s="47"/>
      <c r="P52" s="47"/>
      <c r="Q52" s="47"/>
      <c r="R52" s="47"/>
      <c r="S52" s="47"/>
      <c r="T52" s="29"/>
      <c r="U52" s="37"/>
      <c r="V52" s="144">
        <v>34500000</v>
      </c>
      <c r="W52" s="37"/>
      <c r="X52" s="37"/>
      <c r="Y52" s="37"/>
      <c r="Z52" s="37"/>
      <c r="AA52" s="127">
        <f t="shared" si="0"/>
        <v>34500000</v>
      </c>
      <c r="AB52" s="26" t="s">
        <v>84</v>
      </c>
    </row>
    <row r="53" spans="1:28" ht="16.5">
      <c r="A53" s="20">
        <v>35865</v>
      </c>
      <c r="B53" s="22" t="s">
        <v>904</v>
      </c>
      <c r="C53" s="21" t="s">
        <v>875</v>
      </c>
      <c r="D53" s="21" t="s">
        <v>884</v>
      </c>
      <c r="E53" s="46"/>
      <c r="F53" s="46"/>
      <c r="G53" s="46"/>
      <c r="H53" s="46"/>
      <c r="I53" s="46"/>
      <c r="J53" s="46"/>
      <c r="K53" s="47"/>
      <c r="L53" s="47"/>
      <c r="M53" s="47"/>
      <c r="N53" s="47"/>
      <c r="O53" s="47"/>
      <c r="P53" s="47"/>
      <c r="Q53" s="47"/>
      <c r="R53" s="47"/>
      <c r="S53" s="47"/>
      <c r="T53" s="29"/>
      <c r="U53" s="37"/>
      <c r="V53" s="37">
        <v>23000000</v>
      </c>
      <c r="W53" s="37"/>
      <c r="X53" s="37"/>
      <c r="Y53" s="37"/>
      <c r="Z53" s="37"/>
      <c r="AA53" s="127">
        <f t="shared" si="0"/>
        <v>23000000</v>
      </c>
      <c r="AB53" s="26" t="s">
        <v>98</v>
      </c>
    </row>
    <row r="54" spans="1:28" ht="12.75">
      <c r="A54" s="20">
        <v>35865</v>
      </c>
      <c r="B54" s="22" t="s">
        <v>49</v>
      </c>
      <c r="C54" s="21" t="s">
        <v>106</v>
      </c>
      <c r="D54" s="21" t="s">
        <v>911</v>
      </c>
      <c r="E54" s="46"/>
      <c r="F54" s="46"/>
      <c r="G54" s="46"/>
      <c r="H54" s="46">
        <v>180</v>
      </c>
      <c r="I54" s="46">
        <v>36</v>
      </c>
      <c r="J54" s="46"/>
      <c r="K54" s="47">
        <v>36</v>
      </c>
      <c r="L54" s="47"/>
      <c r="M54" s="47"/>
      <c r="N54" s="47"/>
      <c r="O54" s="47"/>
      <c r="P54" s="47"/>
      <c r="Q54" s="47"/>
      <c r="R54" s="47">
        <v>2</v>
      </c>
      <c r="S54" s="47">
        <v>4</v>
      </c>
      <c r="T54" s="29"/>
      <c r="U54" s="37"/>
      <c r="V54" s="37"/>
      <c r="W54" s="145">
        <v>1789694</v>
      </c>
      <c r="X54" s="37"/>
      <c r="Y54" s="37"/>
      <c r="Z54" s="37"/>
      <c r="AA54" s="127">
        <f t="shared" si="0"/>
        <v>1789694</v>
      </c>
      <c r="AB54" s="26"/>
    </row>
    <row r="55" spans="1:28" ht="12.75">
      <c r="A55" s="20">
        <v>35868</v>
      </c>
      <c r="B55" s="22" t="s">
        <v>820</v>
      </c>
      <c r="C55" s="21" t="s">
        <v>56</v>
      </c>
      <c r="D55" s="21" t="s">
        <v>872</v>
      </c>
      <c r="E55" s="46"/>
      <c r="F55" s="46"/>
      <c r="G55" s="46"/>
      <c r="H55" s="46"/>
      <c r="I55" s="46"/>
      <c r="J55" s="46"/>
      <c r="K55" s="47"/>
      <c r="L55" s="47"/>
      <c r="M55" s="47"/>
      <c r="N55" s="47"/>
      <c r="O55" s="47"/>
      <c r="P55" s="47"/>
      <c r="Q55" s="47"/>
      <c r="R55" s="47"/>
      <c r="S55" s="47"/>
      <c r="T55" s="29" t="s">
        <v>57</v>
      </c>
      <c r="U55" s="37"/>
      <c r="V55" s="31"/>
      <c r="W55" s="37"/>
      <c r="X55" s="37"/>
      <c r="Y55" s="37"/>
      <c r="Z55" s="37"/>
      <c r="AA55" s="127">
        <f t="shared" si="0"/>
        <v>0</v>
      </c>
      <c r="AB55" s="26" t="s">
        <v>58</v>
      </c>
    </row>
    <row r="56" spans="1:28" ht="12.75">
      <c r="A56" s="20">
        <v>35870</v>
      </c>
      <c r="B56" s="22" t="s">
        <v>49</v>
      </c>
      <c r="C56" s="21" t="s">
        <v>54</v>
      </c>
      <c r="D56" s="21" t="s">
        <v>879</v>
      </c>
      <c r="E56" s="46"/>
      <c r="F56" s="46">
        <v>3</v>
      </c>
      <c r="G56" s="46"/>
      <c r="H56" s="46">
        <v>95</v>
      </c>
      <c r="I56" s="46">
        <v>16</v>
      </c>
      <c r="J56" s="46">
        <v>16</v>
      </c>
      <c r="K56" s="47">
        <v>1</v>
      </c>
      <c r="L56" s="47"/>
      <c r="M56" s="47"/>
      <c r="N56" s="47"/>
      <c r="O56" s="47"/>
      <c r="P56" s="47"/>
      <c r="Q56" s="47"/>
      <c r="R56" s="47"/>
      <c r="S56" s="47"/>
      <c r="T56" s="29"/>
      <c r="U56" s="37"/>
      <c r="V56" s="37"/>
      <c r="W56" s="145">
        <v>688344</v>
      </c>
      <c r="X56" s="37"/>
      <c r="Y56" s="37"/>
      <c r="Z56" s="37"/>
      <c r="AA56" s="127">
        <f t="shared" si="0"/>
        <v>688344</v>
      </c>
      <c r="AB56" s="26" t="s">
        <v>105</v>
      </c>
    </row>
    <row r="57" spans="1:28" ht="16.5">
      <c r="A57" s="20">
        <v>35873</v>
      </c>
      <c r="B57" s="22" t="s">
        <v>829</v>
      </c>
      <c r="C57" s="21" t="s">
        <v>61</v>
      </c>
      <c r="D57" s="21" t="s">
        <v>872</v>
      </c>
      <c r="E57" s="46"/>
      <c r="F57" s="46"/>
      <c r="G57" s="46"/>
      <c r="H57" s="46"/>
      <c r="I57" s="46"/>
      <c r="J57" s="46"/>
      <c r="K57" s="47"/>
      <c r="L57" s="47"/>
      <c r="M57" s="47"/>
      <c r="N57" s="47"/>
      <c r="O57" s="47"/>
      <c r="P57" s="47"/>
      <c r="Q57" s="47"/>
      <c r="R57" s="47"/>
      <c r="S57" s="47"/>
      <c r="T57" s="29" t="s">
        <v>62</v>
      </c>
      <c r="U57" s="37"/>
      <c r="V57" s="37"/>
      <c r="W57" s="37"/>
      <c r="X57" s="37"/>
      <c r="Y57" s="37"/>
      <c r="Z57" s="37"/>
      <c r="AA57" s="127">
        <f t="shared" si="0"/>
        <v>0</v>
      </c>
      <c r="AB57" s="26"/>
    </row>
    <row r="58" spans="1:28" ht="16.5">
      <c r="A58" s="20">
        <v>35873</v>
      </c>
      <c r="B58" s="22" t="s">
        <v>829</v>
      </c>
      <c r="C58" s="21" t="s">
        <v>63</v>
      </c>
      <c r="D58" s="21" t="s">
        <v>872</v>
      </c>
      <c r="E58" s="46"/>
      <c r="F58" s="46"/>
      <c r="G58" s="46"/>
      <c r="H58" s="46"/>
      <c r="I58" s="46"/>
      <c r="J58" s="46"/>
      <c r="K58" s="47"/>
      <c r="L58" s="47"/>
      <c r="M58" s="47"/>
      <c r="N58" s="47"/>
      <c r="O58" s="47"/>
      <c r="P58" s="47"/>
      <c r="Q58" s="47"/>
      <c r="R58" s="47"/>
      <c r="S58" s="47"/>
      <c r="T58" s="29" t="s">
        <v>64</v>
      </c>
      <c r="U58" s="37"/>
      <c r="V58" s="37"/>
      <c r="W58" s="37"/>
      <c r="X58" s="37"/>
      <c r="Y58" s="37"/>
      <c r="Z58" s="37"/>
      <c r="AA58" s="127">
        <f t="shared" si="0"/>
        <v>0</v>
      </c>
      <c r="AB58" s="26"/>
    </row>
    <row r="59" spans="1:28" ht="22.5">
      <c r="A59" s="38">
        <v>35874</v>
      </c>
      <c r="B59" s="39" t="s">
        <v>16</v>
      </c>
      <c r="C59" s="40" t="s">
        <v>69</v>
      </c>
      <c r="D59" s="40" t="s">
        <v>911</v>
      </c>
      <c r="E59" s="48"/>
      <c r="F59" s="48"/>
      <c r="G59" s="48"/>
      <c r="H59" s="48"/>
      <c r="I59" s="48"/>
      <c r="J59" s="48"/>
      <c r="K59" s="49"/>
      <c r="L59" s="49"/>
      <c r="M59" s="49"/>
      <c r="N59" s="49"/>
      <c r="O59" s="49"/>
      <c r="P59" s="49"/>
      <c r="Q59" s="49"/>
      <c r="R59" s="49"/>
      <c r="S59" s="49"/>
      <c r="T59" s="41"/>
      <c r="U59" s="42"/>
      <c r="V59" s="42"/>
      <c r="W59" s="42"/>
      <c r="X59" s="42"/>
      <c r="Y59" s="42"/>
      <c r="Z59" s="42"/>
      <c r="AA59" s="127">
        <f t="shared" si="0"/>
        <v>0</v>
      </c>
      <c r="AB59" s="43" t="s">
        <v>70</v>
      </c>
    </row>
    <row r="60" spans="1:28" ht="12.75">
      <c r="A60" s="38">
        <v>35874</v>
      </c>
      <c r="B60" s="39" t="s">
        <v>889</v>
      </c>
      <c r="C60" s="40" t="s">
        <v>85</v>
      </c>
      <c r="D60" s="40" t="s">
        <v>25</v>
      </c>
      <c r="E60" s="48"/>
      <c r="F60" s="48"/>
      <c r="G60" s="48"/>
      <c r="H60" s="48">
        <v>125</v>
      </c>
      <c r="I60" s="48">
        <v>25</v>
      </c>
      <c r="J60" s="48">
        <v>25</v>
      </c>
      <c r="K60" s="49"/>
      <c r="L60" s="49"/>
      <c r="M60" s="49"/>
      <c r="N60" s="49"/>
      <c r="O60" s="49"/>
      <c r="P60" s="49"/>
      <c r="Q60" s="49"/>
      <c r="R60" s="49"/>
      <c r="S60" s="49"/>
      <c r="T60" s="41"/>
      <c r="U60" s="31">
        <v>2550173.1</v>
      </c>
      <c r="V60" s="42"/>
      <c r="W60" s="42">
        <v>4818408</v>
      </c>
      <c r="X60" s="42"/>
      <c r="Y60" s="42"/>
      <c r="Z60" s="42"/>
      <c r="AA60" s="127">
        <f t="shared" si="0"/>
        <v>7368581.1</v>
      </c>
      <c r="AB60" s="43" t="s">
        <v>90</v>
      </c>
    </row>
    <row r="61" spans="1:28" ht="12.75">
      <c r="A61" s="38">
        <v>35874</v>
      </c>
      <c r="B61" s="39" t="s">
        <v>41</v>
      </c>
      <c r="C61" s="40" t="s">
        <v>96</v>
      </c>
      <c r="D61" s="40" t="s">
        <v>911</v>
      </c>
      <c r="E61" s="48"/>
      <c r="F61" s="48"/>
      <c r="G61" s="48"/>
      <c r="H61" s="48">
        <v>205</v>
      </c>
      <c r="I61" s="48">
        <v>50</v>
      </c>
      <c r="J61" s="48">
        <v>48</v>
      </c>
      <c r="K61" s="49">
        <v>40</v>
      </c>
      <c r="L61" s="49"/>
      <c r="M61" s="49"/>
      <c r="N61" s="49"/>
      <c r="O61" s="49"/>
      <c r="P61" s="49"/>
      <c r="Q61" s="49"/>
      <c r="R61" s="49">
        <v>4</v>
      </c>
      <c r="S61" s="49">
        <v>1</v>
      </c>
      <c r="T61" s="41" t="s">
        <v>94</v>
      </c>
      <c r="U61" s="60">
        <v>9662950.7</v>
      </c>
      <c r="V61" s="42"/>
      <c r="W61" s="42"/>
      <c r="X61" s="42"/>
      <c r="Y61" s="42"/>
      <c r="Z61" s="42"/>
      <c r="AA61" s="127">
        <f t="shared" si="0"/>
        <v>9662950.7</v>
      </c>
      <c r="AB61" s="43" t="s">
        <v>97</v>
      </c>
    </row>
    <row r="62" spans="1:28" ht="24.75">
      <c r="A62" s="38">
        <v>35877</v>
      </c>
      <c r="B62" s="39" t="s">
        <v>100</v>
      </c>
      <c r="C62" s="40" t="s">
        <v>101</v>
      </c>
      <c r="D62" s="40" t="s">
        <v>911</v>
      </c>
      <c r="E62" s="48"/>
      <c r="F62" s="48"/>
      <c r="G62" s="48"/>
      <c r="H62" s="48">
        <v>85</v>
      </c>
      <c r="I62" s="48">
        <v>20</v>
      </c>
      <c r="J62" s="48">
        <v>7</v>
      </c>
      <c r="K62" s="49">
        <v>13</v>
      </c>
      <c r="L62" s="49"/>
      <c r="M62" s="49"/>
      <c r="N62" s="49"/>
      <c r="O62" s="49"/>
      <c r="P62" s="49"/>
      <c r="Q62" s="49"/>
      <c r="R62" s="49">
        <v>1</v>
      </c>
      <c r="S62" s="49"/>
      <c r="T62" s="41"/>
      <c r="U62" s="42"/>
      <c r="V62" s="42"/>
      <c r="W62" s="42"/>
      <c r="X62" s="42"/>
      <c r="Y62" s="42"/>
      <c r="Z62" s="42"/>
      <c r="AA62" s="127">
        <f t="shared" si="0"/>
        <v>0</v>
      </c>
      <c r="AB62" s="43" t="s">
        <v>102</v>
      </c>
    </row>
    <row r="63" spans="1:28" ht="12.75">
      <c r="A63" s="38">
        <v>35880</v>
      </c>
      <c r="B63" s="39" t="s">
        <v>22</v>
      </c>
      <c r="C63" s="40" t="s">
        <v>31</v>
      </c>
      <c r="D63" s="40" t="s">
        <v>911</v>
      </c>
      <c r="E63" s="48"/>
      <c r="F63" s="48"/>
      <c r="G63" s="48"/>
      <c r="H63" s="48">
        <v>60</v>
      </c>
      <c r="I63" s="48">
        <v>12</v>
      </c>
      <c r="J63" s="48"/>
      <c r="K63" s="49">
        <v>12</v>
      </c>
      <c r="L63" s="49"/>
      <c r="M63" s="49"/>
      <c r="N63" s="49"/>
      <c r="O63" s="49"/>
      <c r="P63" s="49"/>
      <c r="Q63" s="49"/>
      <c r="R63" s="49"/>
      <c r="S63" s="49"/>
      <c r="T63" s="41"/>
      <c r="U63" s="42">
        <v>1481633</v>
      </c>
      <c r="V63" s="42">
        <v>1104000</v>
      </c>
      <c r="W63" s="42"/>
      <c r="X63" s="42"/>
      <c r="Y63" s="42"/>
      <c r="Z63" s="42"/>
      <c r="AA63" s="127">
        <f t="shared" si="0"/>
        <v>2585633</v>
      </c>
      <c r="AB63" s="43"/>
    </row>
    <row r="64" spans="1:28" ht="12.75">
      <c r="A64" s="38">
        <v>35882</v>
      </c>
      <c r="B64" s="39" t="s">
        <v>904</v>
      </c>
      <c r="C64" s="40" t="s">
        <v>904</v>
      </c>
      <c r="D64" s="40" t="s">
        <v>884</v>
      </c>
      <c r="E64" s="48"/>
      <c r="F64" s="48"/>
      <c r="G64" s="48"/>
      <c r="H64" s="48">
        <v>1260</v>
      </c>
      <c r="I64" s="48">
        <v>316</v>
      </c>
      <c r="J64" s="48"/>
      <c r="K64" s="49"/>
      <c r="L64" s="49"/>
      <c r="M64" s="49"/>
      <c r="N64" s="49"/>
      <c r="O64" s="49"/>
      <c r="P64" s="49"/>
      <c r="Q64" s="49"/>
      <c r="R64" s="49"/>
      <c r="S64" s="49"/>
      <c r="T64" s="41"/>
      <c r="U64" s="42"/>
      <c r="V64" s="42"/>
      <c r="W64" s="42"/>
      <c r="X64" s="42"/>
      <c r="Y64" s="42"/>
      <c r="Z64" s="42"/>
      <c r="AA64" s="127">
        <f t="shared" si="0"/>
        <v>0</v>
      </c>
      <c r="AB64" s="43" t="s">
        <v>99</v>
      </c>
    </row>
    <row r="65" spans="1:28" ht="12.75">
      <c r="A65" s="38">
        <v>35884</v>
      </c>
      <c r="B65" s="39" t="s">
        <v>877</v>
      </c>
      <c r="C65" s="40" t="s">
        <v>68</v>
      </c>
      <c r="D65" s="40" t="s">
        <v>884</v>
      </c>
      <c r="E65" s="48"/>
      <c r="F65" s="48"/>
      <c r="G65" s="48"/>
      <c r="H65" s="48"/>
      <c r="I65" s="48"/>
      <c r="J65" s="48"/>
      <c r="K65" s="49"/>
      <c r="L65" s="49"/>
      <c r="M65" s="49"/>
      <c r="N65" s="49"/>
      <c r="O65" s="49"/>
      <c r="P65" s="49"/>
      <c r="Q65" s="49"/>
      <c r="R65" s="49"/>
      <c r="S65" s="49"/>
      <c r="T65" s="41"/>
      <c r="U65" s="42"/>
      <c r="V65" s="42">
        <v>4600000</v>
      </c>
      <c r="W65" s="31"/>
      <c r="X65" s="42"/>
      <c r="Y65" s="42"/>
      <c r="Z65" s="42"/>
      <c r="AA65" s="127">
        <f t="shared" si="0"/>
        <v>4600000</v>
      </c>
      <c r="AB65" s="43"/>
    </row>
    <row r="66" spans="1:28" ht="12.75">
      <c r="A66" s="38">
        <v>35885</v>
      </c>
      <c r="B66" s="39" t="s">
        <v>59</v>
      </c>
      <c r="C66" s="40" t="s">
        <v>60</v>
      </c>
      <c r="D66" s="40" t="s">
        <v>884</v>
      </c>
      <c r="E66" s="48"/>
      <c r="F66" s="48"/>
      <c r="G66" s="48"/>
      <c r="H66" s="48">
        <v>120</v>
      </c>
      <c r="I66" s="48">
        <v>24</v>
      </c>
      <c r="J66" s="48"/>
      <c r="K66" s="49"/>
      <c r="L66" s="49"/>
      <c r="M66" s="49"/>
      <c r="N66" s="49"/>
      <c r="O66" s="49"/>
      <c r="P66" s="49"/>
      <c r="Q66" s="49"/>
      <c r="R66" s="49"/>
      <c r="S66" s="49"/>
      <c r="T66" s="41"/>
      <c r="U66" s="42"/>
      <c r="V66" s="42">
        <v>2300000</v>
      </c>
      <c r="W66" s="31"/>
      <c r="X66" s="42"/>
      <c r="Y66" s="42"/>
      <c r="Z66" s="42"/>
      <c r="AA66" s="127">
        <f t="shared" si="0"/>
        <v>2300000</v>
      </c>
      <c r="AB66" s="43"/>
    </row>
    <row r="67" spans="1:28" ht="12.75">
      <c r="A67" s="38">
        <v>35885</v>
      </c>
      <c r="B67" s="39" t="s">
        <v>877</v>
      </c>
      <c r="C67" s="40" t="s">
        <v>67</v>
      </c>
      <c r="D67" s="40" t="s">
        <v>911</v>
      </c>
      <c r="E67" s="48"/>
      <c r="F67" s="48"/>
      <c r="G67" s="48"/>
      <c r="H67" s="48"/>
      <c r="I67" s="48"/>
      <c r="J67" s="48"/>
      <c r="K67" s="49"/>
      <c r="L67" s="49"/>
      <c r="M67" s="49"/>
      <c r="N67" s="49"/>
      <c r="O67" s="49"/>
      <c r="P67" s="49"/>
      <c r="Q67" s="49"/>
      <c r="R67" s="49"/>
      <c r="S67" s="49"/>
      <c r="T67" s="41"/>
      <c r="U67" s="42"/>
      <c r="V67" s="42">
        <v>11500000</v>
      </c>
      <c r="W67" s="42"/>
      <c r="X67" s="42"/>
      <c r="Y67" s="42"/>
      <c r="Z67" s="42" t="s">
        <v>430</v>
      </c>
      <c r="AA67" s="127">
        <v>11500000</v>
      </c>
      <c r="AB67" s="43"/>
    </row>
    <row r="68" spans="1:28" ht="24.75">
      <c r="A68" s="38">
        <v>35886</v>
      </c>
      <c r="B68" s="39" t="s">
        <v>13</v>
      </c>
      <c r="C68" s="40" t="s">
        <v>135</v>
      </c>
      <c r="D68" s="40" t="s">
        <v>911</v>
      </c>
      <c r="E68" s="48"/>
      <c r="F68" s="48"/>
      <c r="G68" s="48"/>
      <c r="H68" s="48">
        <v>1500</v>
      </c>
      <c r="I68" s="48">
        <v>250</v>
      </c>
      <c r="J68" s="48"/>
      <c r="K68" s="49">
        <v>250</v>
      </c>
      <c r="L68" s="49"/>
      <c r="M68" s="49"/>
      <c r="N68" s="49"/>
      <c r="O68" s="49"/>
      <c r="P68" s="49"/>
      <c r="Q68" s="49"/>
      <c r="R68" s="49">
        <v>6</v>
      </c>
      <c r="S68" s="49"/>
      <c r="T68" s="41" t="s">
        <v>136</v>
      </c>
      <c r="U68" s="42">
        <v>4111700</v>
      </c>
      <c r="V68" s="42">
        <v>2300000</v>
      </c>
      <c r="W68" s="42"/>
      <c r="X68" s="42"/>
      <c r="Y68" s="42"/>
      <c r="Z68" s="42"/>
      <c r="AA68" s="127">
        <f aca="true" t="shared" si="1" ref="AA68:AA131">+U68+V68+W68+X68+Y68+Z68</f>
        <v>6411700</v>
      </c>
      <c r="AB68" s="43" t="s">
        <v>137</v>
      </c>
    </row>
    <row r="69" spans="1:28" ht="24.75">
      <c r="A69" s="38">
        <v>35887</v>
      </c>
      <c r="B69" s="39" t="s">
        <v>129</v>
      </c>
      <c r="C69" s="40" t="s">
        <v>130</v>
      </c>
      <c r="D69" s="40" t="s">
        <v>911</v>
      </c>
      <c r="E69" s="48"/>
      <c r="F69" s="48"/>
      <c r="G69" s="48"/>
      <c r="H69" s="48">
        <v>859</v>
      </c>
      <c r="I69" s="48">
        <v>154</v>
      </c>
      <c r="J69" s="48"/>
      <c r="K69" s="49">
        <v>154</v>
      </c>
      <c r="L69" s="49"/>
      <c r="M69" s="49"/>
      <c r="N69" s="49"/>
      <c r="O69" s="49"/>
      <c r="P69" s="49"/>
      <c r="Q69" s="49"/>
      <c r="R69" s="49">
        <v>3</v>
      </c>
      <c r="S69" s="49"/>
      <c r="T69" s="41" t="s">
        <v>131</v>
      </c>
      <c r="U69" s="42">
        <v>14063941.2</v>
      </c>
      <c r="V69" s="42"/>
      <c r="W69" s="42"/>
      <c r="X69" s="42"/>
      <c r="Y69" s="42"/>
      <c r="Z69" s="42"/>
      <c r="AA69" s="127">
        <f t="shared" si="1"/>
        <v>14063941.2</v>
      </c>
      <c r="AB69" s="43" t="s">
        <v>132</v>
      </c>
    </row>
    <row r="70" spans="1:28" ht="16.5">
      <c r="A70" s="38">
        <v>35891</v>
      </c>
      <c r="B70" s="39" t="s">
        <v>34</v>
      </c>
      <c r="C70" s="40" t="s">
        <v>152</v>
      </c>
      <c r="D70" s="40" t="s">
        <v>891</v>
      </c>
      <c r="E70" s="48"/>
      <c r="F70" s="48"/>
      <c r="G70" s="48"/>
      <c r="H70" s="48">
        <v>250</v>
      </c>
      <c r="I70" s="48">
        <v>50</v>
      </c>
      <c r="J70" s="48">
        <v>2</v>
      </c>
      <c r="K70" s="49">
        <v>8</v>
      </c>
      <c r="L70" s="49">
        <v>5</v>
      </c>
      <c r="M70" s="49"/>
      <c r="N70" s="49"/>
      <c r="O70" s="49">
        <v>12</v>
      </c>
      <c r="P70" s="49"/>
      <c r="Q70" s="49"/>
      <c r="R70" s="49"/>
      <c r="S70" s="49"/>
      <c r="T70" s="41"/>
      <c r="U70" s="42"/>
      <c r="V70" s="42"/>
      <c r="W70" s="42"/>
      <c r="X70" s="42"/>
      <c r="Y70" s="42"/>
      <c r="Z70" s="42">
        <v>685000</v>
      </c>
      <c r="AA70" s="127">
        <f t="shared" si="1"/>
        <v>685000</v>
      </c>
      <c r="AB70" s="43" t="s">
        <v>153</v>
      </c>
    </row>
    <row r="71" spans="1:28" ht="22.5">
      <c r="A71" s="38">
        <v>35891</v>
      </c>
      <c r="B71" s="39" t="s">
        <v>889</v>
      </c>
      <c r="C71" s="40" t="s">
        <v>162</v>
      </c>
      <c r="D71" s="40" t="s">
        <v>911</v>
      </c>
      <c r="E71" s="48"/>
      <c r="F71" s="48"/>
      <c r="G71" s="48"/>
      <c r="H71" s="48"/>
      <c r="I71" s="48"/>
      <c r="J71" s="48"/>
      <c r="K71" s="49"/>
      <c r="L71" s="49"/>
      <c r="M71" s="49"/>
      <c r="N71" s="49"/>
      <c r="O71" s="49"/>
      <c r="P71" s="49"/>
      <c r="Q71" s="49"/>
      <c r="R71" s="49"/>
      <c r="S71" s="49"/>
      <c r="T71" s="41"/>
      <c r="U71" s="42"/>
      <c r="V71" s="42"/>
      <c r="W71" s="42">
        <v>6883440</v>
      </c>
      <c r="X71" s="42"/>
      <c r="Y71" s="42"/>
      <c r="Z71" s="42"/>
      <c r="AA71" s="127">
        <f t="shared" si="1"/>
        <v>6883440</v>
      </c>
      <c r="AB71" s="43"/>
    </row>
    <row r="72" spans="1:28" ht="22.5">
      <c r="A72" s="38">
        <v>35893</v>
      </c>
      <c r="B72" s="39" t="s">
        <v>877</v>
      </c>
      <c r="C72" s="40" t="s">
        <v>140</v>
      </c>
      <c r="D72" s="40" t="s">
        <v>891</v>
      </c>
      <c r="E72" s="48"/>
      <c r="F72" s="48"/>
      <c r="G72" s="48"/>
      <c r="H72" s="48"/>
      <c r="I72" s="48"/>
      <c r="J72" s="48"/>
      <c r="K72" s="49"/>
      <c r="L72" s="49"/>
      <c r="M72" s="49"/>
      <c r="N72" s="49"/>
      <c r="O72" s="49"/>
      <c r="P72" s="49"/>
      <c r="Q72" s="49"/>
      <c r="R72" s="49"/>
      <c r="S72" s="49"/>
      <c r="T72" s="41"/>
      <c r="U72" s="42"/>
      <c r="V72" s="42">
        <v>3450000</v>
      </c>
      <c r="W72" s="42"/>
      <c r="X72" s="42"/>
      <c r="Y72" s="42"/>
      <c r="Z72" s="42"/>
      <c r="AA72" s="127">
        <f t="shared" si="1"/>
        <v>3450000</v>
      </c>
      <c r="AB72" s="43" t="s">
        <v>141</v>
      </c>
    </row>
    <row r="73" spans="1:28" ht="16.5">
      <c r="A73" s="38">
        <v>35895</v>
      </c>
      <c r="B73" s="39" t="s">
        <v>829</v>
      </c>
      <c r="C73" s="40" t="s">
        <v>875</v>
      </c>
      <c r="D73" s="40" t="s">
        <v>107</v>
      </c>
      <c r="E73" s="48"/>
      <c r="F73" s="48"/>
      <c r="G73" s="48"/>
      <c r="H73" s="48">
        <v>248</v>
      </c>
      <c r="I73" s="48">
        <v>50</v>
      </c>
      <c r="J73" s="48"/>
      <c r="K73" s="49"/>
      <c r="L73" s="49"/>
      <c r="M73" s="49"/>
      <c r="N73" s="49"/>
      <c r="O73" s="49"/>
      <c r="P73" s="49"/>
      <c r="Q73" s="49"/>
      <c r="R73" s="49"/>
      <c r="S73" s="49"/>
      <c r="T73" s="41"/>
      <c r="U73" s="42"/>
      <c r="V73" s="42"/>
      <c r="W73" s="42"/>
      <c r="X73" s="42"/>
      <c r="Y73" s="42"/>
      <c r="Z73" s="42">
        <v>5000000</v>
      </c>
      <c r="AA73" s="127">
        <f t="shared" si="1"/>
        <v>5000000</v>
      </c>
      <c r="AB73" s="43" t="s">
        <v>108</v>
      </c>
    </row>
    <row r="74" spans="1:28" ht="22.5">
      <c r="A74" s="38">
        <v>35898</v>
      </c>
      <c r="B74" s="39" t="s">
        <v>893</v>
      </c>
      <c r="C74" s="40" t="s">
        <v>163</v>
      </c>
      <c r="D74" s="40" t="s">
        <v>891</v>
      </c>
      <c r="E74" s="48">
        <v>1</v>
      </c>
      <c r="F74" s="48">
        <v>2</v>
      </c>
      <c r="G74" s="48"/>
      <c r="H74" s="48">
        <v>3</v>
      </c>
      <c r="I74" s="48">
        <v>22</v>
      </c>
      <c r="J74" s="48">
        <v>1</v>
      </c>
      <c r="K74" s="49"/>
      <c r="L74" s="49"/>
      <c r="M74" s="49"/>
      <c r="N74" s="49"/>
      <c r="O74" s="49"/>
      <c r="P74" s="49"/>
      <c r="Q74" s="49"/>
      <c r="R74" s="49"/>
      <c r="S74" s="49"/>
      <c r="T74" s="41"/>
      <c r="U74" s="42"/>
      <c r="V74" s="42"/>
      <c r="W74" s="42"/>
      <c r="X74" s="42"/>
      <c r="Y74" s="42"/>
      <c r="Z74" s="42"/>
      <c r="AA74" s="127">
        <f t="shared" si="1"/>
        <v>0</v>
      </c>
      <c r="AB74" s="43" t="s">
        <v>164</v>
      </c>
    </row>
    <row r="75" spans="1:28" ht="22.5">
      <c r="A75" s="38">
        <v>35900</v>
      </c>
      <c r="B75" s="39" t="s">
        <v>829</v>
      </c>
      <c r="C75" s="40" t="s">
        <v>117</v>
      </c>
      <c r="D75" s="40" t="s">
        <v>821</v>
      </c>
      <c r="E75" s="48"/>
      <c r="F75" s="48"/>
      <c r="G75" s="48"/>
      <c r="H75" s="48">
        <v>130</v>
      </c>
      <c r="I75" s="48">
        <v>22</v>
      </c>
      <c r="J75" s="48"/>
      <c r="K75" s="49"/>
      <c r="L75" s="49"/>
      <c r="M75" s="49"/>
      <c r="N75" s="49"/>
      <c r="O75" s="49"/>
      <c r="P75" s="49"/>
      <c r="Q75" s="49"/>
      <c r="R75" s="49"/>
      <c r="S75" s="49"/>
      <c r="T75" s="41"/>
      <c r="U75" s="42"/>
      <c r="V75" s="42"/>
      <c r="W75" s="42"/>
      <c r="X75" s="42"/>
      <c r="Y75" s="42"/>
      <c r="Z75" s="42"/>
      <c r="AA75" s="127">
        <f t="shared" si="1"/>
        <v>0</v>
      </c>
      <c r="AB75" s="43" t="s">
        <v>118</v>
      </c>
    </row>
    <row r="76" spans="1:28" ht="16.5">
      <c r="A76" s="38">
        <v>35901</v>
      </c>
      <c r="B76" s="39" t="s">
        <v>829</v>
      </c>
      <c r="C76" s="40" t="s">
        <v>113</v>
      </c>
      <c r="D76" s="40" t="s">
        <v>114</v>
      </c>
      <c r="E76" s="48"/>
      <c r="F76" s="48"/>
      <c r="G76" s="48"/>
      <c r="H76" s="48"/>
      <c r="I76" s="48"/>
      <c r="J76" s="48"/>
      <c r="K76" s="49"/>
      <c r="L76" s="49"/>
      <c r="M76" s="49">
        <v>1</v>
      </c>
      <c r="N76" s="49"/>
      <c r="O76" s="49"/>
      <c r="P76" s="49"/>
      <c r="Q76" s="49"/>
      <c r="R76" s="49"/>
      <c r="S76" s="49"/>
      <c r="T76" s="41" t="s">
        <v>115</v>
      </c>
      <c r="U76" s="42"/>
      <c r="V76" s="42"/>
      <c r="W76" s="42"/>
      <c r="X76" s="42"/>
      <c r="Y76" s="42"/>
      <c r="Z76" s="42"/>
      <c r="AA76" s="127">
        <f t="shared" si="1"/>
        <v>0</v>
      </c>
      <c r="AB76" s="43" t="s">
        <v>116</v>
      </c>
    </row>
    <row r="77" spans="1:28" ht="12.75">
      <c r="A77" s="38">
        <v>35901</v>
      </c>
      <c r="B77" s="39" t="s">
        <v>100</v>
      </c>
      <c r="C77" s="40" t="s">
        <v>101</v>
      </c>
      <c r="D77" s="40" t="s">
        <v>911</v>
      </c>
      <c r="E77" s="48"/>
      <c r="F77" s="48"/>
      <c r="G77" s="48"/>
      <c r="H77" s="48">
        <v>85</v>
      </c>
      <c r="I77" s="48">
        <v>20</v>
      </c>
      <c r="J77" s="48">
        <v>7</v>
      </c>
      <c r="K77" s="49">
        <v>13</v>
      </c>
      <c r="L77" s="49"/>
      <c r="M77" s="49"/>
      <c r="N77" s="49"/>
      <c r="O77" s="49"/>
      <c r="P77" s="49"/>
      <c r="Q77" s="49"/>
      <c r="R77" s="49">
        <v>1</v>
      </c>
      <c r="S77" s="49"/>
      <c r="T77" s="41"/>
      <c r="U77" s="42"/>
      <c r="V77" s="42"/>
      <c r="W77" s="42">
        <v>2546872</v>
      </c>
      <c r="X77" s="42"/>
      <c r="Y77" s="42"/>
      <c r="Z77" s="42"/>
      <c r="AA77" s="127">
        <f t="shared" si="1"/>
        <v>2546872</v>
      </c>
      <c r="AB77" s="43" t="s">
        <v>167</v>
      </c>
    </row>
    <row r="78" spans="1:28" ht="33">
      <c r="A78" s="38">
        <v>35902</v>
      </c>
      <c r="B78" s="39" t="s">
        <v>829</v>
      </c>
      <c r="C78" s="40" t="s">
        <v>109</v>
      </c>
      <c r="D78" s="40" t="s">
        <v>107</v>
      </c>
      <c r="E78" s="48"/>
      <c r="F78" s="48"/>
      <c r="G78" s="48"/>
      <c r="H78" s="48"/>
      <c r="I78" s="48"/>
      <c r="J78" s="48"/>
      <c r="K78" s="49"/>
      <c r="L78" s="49"/>
      <c r="M78" s="49">
        <v>1</v>
      </c>
      <c r="N78" s="49"/>
      <c r="O78" s="49"/>
      <c r="P78" s="49"/>
      <c r="Q78" s="49"/>
      <c r="R78" s="49"/>
      <c r="S78" s="49"/>
      <c r="T78" s="41"/>
      <c r="U78" s="42"/>
      <c r="V78" s="42"/>
      <c r="W78" s="42"/>
      <c r="X78" s="42"/>
      <c r="Y78" s="42"/>
      <c r="Z78" s="42"/>
      <c r="AA78" s="127">
        <f t="shared" si="1"/>
        <v>0</v>
      </c>
      <c r="AB78" s="43" t="s">
        <v>112</v>
      </c>
    </row>
    <row r="79" spans="1:28" ht="12.75">
      <c r="A79" s="38">
        <v>35903</v>
      </c>
      <c r="B79" s="39" t="s">
        <v>16</v>
      </c>
      <c r="C79" s="40" t="s">
        <v>142</v>
      </c>
      <c r="D79" s="40" t="s">
        <v>821</v>
      </c>
      <c r="E79" s="48"/>
      <c r="F79" s="48"/>
      <c r="G79" s="48"/>
      <c r="H79" s="48">
        <v>93</v>
      </c>
      <c r="I79" s="48">
        <v>19</v>
      </c>
      <c r="J79" s="48"/>
      <c r="K79" s="49">
        <v>3</v>
      </c>
      <c r="L79" s="49"/>
      <c r="M79" s="49"/>
      <c r="N79" s="49"/>
      <c r="O79" s="49"/>
      <c r="P79" s="49"/>
      <c r="Q79" s="49"/>
      <c r="R79" s="49"/>
      <c r="S79" s="49"/>
      <c r="T79" s="41"/>
      <c r="U79" s="42"/>
      <c r="V79" s="42"/>
      <c r="W79" s="42"/>
      <c r="X79" s="42"/>
      <c r="Y79" s="42"/>
      <c r="Z79" s="42"/>
      <c r="AA79" s="127">
        <f t="shared" si="1"/>
        <v>0</v>
      </c>
      <c r="AB79" s="43" t="s">
        <v>143</v>
      </c>
    </row>
    <row r="80" spans="1:29" ht="12.75">
      <c r="A80" s="38">
        <v>35903</v>
      </c>
      <c r="B80" s="39" t="s">
        <v>16</v>
      </c>
      <c r="C80" s="40" t="s">
        <v>144</v>
      </c>
      <c r="D80" s="40" t="s">
        <v>821</v>
      </c>
      <c r="E80" s="48"/>
      <c r="F80" s="48"/>
      <c r="G80" s="48"/>
      <c r="H80" s="48">
        <v>85</v>
      </c>
      <c r="I80" s="48">
        <v>21</v>
      </c>
      <c r="J80" s="48">
        <v>4</v>
      </c>
      <c r="K80" s="49">
        <v>11</v>
      </c>
      <c r="L80" s="49"/>
      <c r="M80" s="49"/>
      <c r="N80" s="49"/>
      <c r="O80" s="49"/>
      <c r="P80" s="49"/>
      <c r="Q80" s="49"/>
      <c r="R80" s="49"/>
      <c r="S80" s="49"/>
      <c r="T80" s="41"/>
      <c r="U80" s="42">
        <v>2677068</v>
      </c>
      <c r="V80" s="42"/>
      <c r="W80" s="42"/>
      <c r="X80" s="42"/>
      <c r="Y80" s="42"/>
      <c r="Z80" s="42"/>
      <c r="AA80" s="127">
        <f t="shared" si="1"/>
        <v>2677068</v>
      </c>
      <c r="AB80" s="43" t="s">
        <v>145</v>
      </c>
      <c r="AC80" s="4" t="s">
        <v>594</v>
      </c>
    </row>
    <row r="81" spans="1:29" ht="12.75">
      <c r="A81" s="38">
        <v>35903</v>
      </c>
      <c r="B81" s="39" t="s">
        <v>889</v>
      </c>
      <c r="C81" s="40" t="s">
        <v>160</v>
      </c>
      <c r="D81" s="40" t="s">
        <v>821</v>
      </c>
      <c r="E81" s="48"/>
      <c r="F81" s="48"/>
      <c r="G81" s="48"/>
      <c r="H81" s="48"/>
      <c r="I81" s="48"/>
      <c r="J81" s="48"/>
      <c r="K81" s="49"/>
      <c r="L81" s="49"/>
      <c r="M81" s="49"/>
      <c r="N81" s="49"/>
      <c r="O81" s="49"/>
      <c r="P81" s="49"/>
      <c r="Q81" s="49"/>
      <c r="R81" s="49"/>
      <c r="S81" s="49"/>
      <c r="T81" s="41"/>
      <c r="U81" s="42"/>
      <c r="V81" s="42"/>
      <c r="W81" s="42"/>
      <c r="X81" s="42"/>
      <c r="Y81" s="42"/>
      <c r="Z81" s="42"/>
      <c r="AA81" s="127">
        <f t="shared" si="1"/>
        <v>0</v>
      </c>
      <c r="AB81" s="43" t="s">
        <v>161</v>
      </c>
      <c r="AC81" s="4" t="s">
        <v>594</v>
      </c>
    </row>
    <row r="82" spans="1:28" ht="24.75">
      <c r="A82" s="38">
        <v>35904</v>
      </c>
      <c r="B82" s="39" t="s">
        <v>34</v>
      </c>
      <c r="C82" s="40" t="s">
        <v>154</v>
      </c>
      <c r="D82" s="40" t="s">
        <v>891</v>
      </c>
      <c r="E82" s="48"/>
      <c r="F82" s="48"/>
      <c r="G82" s="48"/>
      <c r="H82" s="48">
        <v>250</v>
      </c>
      <c r="I82" s="48">
        <v>50</v>
      </c>
      <c r="J82" s="48"/>
      <c r="K82" s="49">
        <v>15</v>
      </c>
      <c r="L82" s="49">
        <v>9</v>
      </c>
      <c r="M82" s="49"/>
      <c r="N82" s="49"/>
      <c r="O82" s="49">
        <v>5</v>
      </c>
      <c r="P82" s="49"/>
      <c r="Q82" s="49"/>
      <c r="R82" s="49">
        <v>1</v>
      </c>
      <c r="S82" s="49">
        <v>1</v>
      </c>
      <c r="T82" s="41" t="s">
        <v>155</v>
      </c>
      <c r="U82" s="42"/>
      <c r="V82" s="42"/>
      <c r="W82" s="42"/>
      <c r="X82" s="42"/>
      <c r="Y82" s="42"/>
      <c r="Z82" s="42">
        <v>500000</v>
      </c>
      <c r="AA82" s="127">
        <f t="shared" si="1"/>
        <v>500000</v>
      </c>
      <c r="AB82" s="43" t="s">
        <v>156</v>
      </c>
    </row>
    <row r="83" spans="1:28" ht="12.75">
      <c r="A83" s="38">
        <v>35904</v>
      </c>
      <c r="B83" s="39" t="s">
        <v>49</v>
      </c>
      <c r="C83" s="40" t="s">
        <v>168</v>
      </c>
      <c r="D83" s="40" t="s">
        <v>821</v>
      </c>
      <c r="E83" s="48">
        <v>2</v>
      </c>
      <c r="F83" s="48"/>
      <c r="G83" s="48"/>
      <c r="H83" s="48">
        <v>363</v>
      </c>
      <c r="I83" s="48">
        <v>88</v>
      </c>
      <c r="J83" s="48"/>
      <c r="K83" s="49"/>
      <c r="L83" s="49">
        <v>1</v>
      </c>
      <c r="M83" s="49"/>
      <c r="N83" s="49"/>
      <c r="O83" s="49"/>
      <c r="P83" s="49"/>
      <c r="Q83" s="49"/>
      <c r="R83" s="49"/>
      <c r="S83" s="49"/>
      <c r="T83" s="41"/>
      <c r="U83" s="42">
        <v>22780151</v>
      </c>
      <c r="V83" s="42">
        <v>4600000</v>
      </c>
      <c r="W83" s="42"/>
      <c r="X83" s="42"/>
      <c r="Y83" s="42"/>
      <c r="Z83" s="42"/>
      <c r="AA83" s="127">
        <f t="shared" si="1"/>
        <v>27380151</v>
      </c>
      <c r="AB83" s="43" t="s">
        <v>169</v>
      </c>
    </row>
    <row r="84" spans="1:28" ht="16.5">
      <c r="A84" s="38">
        <v>35905</v>
      </c>
      <c r="B84" s="39" t="s">
        <v>126</v>
      </c>
      <c r="C84" s="40" t="s">
        <v>127</v>
      </c>
      <c r="D84" s="40" t="s">
        <v>821</v>
      </c>
      <c r="E84" s="48"/>
      <c r="F84" s="48"/>
      <c r="G84" s="48"/>
      <c r="H84" s="48"/>
      <c r="I84" s="48"/>
      <c r="J84" s="48"/>
      <c r="K84" s="49"/>
      <c r="L84" s="49"/>
      <c r="M84" s="49"/>
      <c r="N84" s="49"/>
      <c r="O84" s="49"/>
      <c r="P84" s="49"/>
      <c r="Q84" s="49"/>
      <c r="R84" s="49"/>
      <c r="S84" s="49"/>
      <c r="T84" s="41"/>
      <c r="U84" s="42"/>
      <c r="V84" s="42"/>
      <c r="W84" s="42"/>
      <c r="X84" s="42"/>
      <c r="Y84" s="42"/>
      <c r="Z84" s="42"/>
      <c r="AA84" s="127">
        <f t="shared" si="1"/>
        <v>0</v>
      </c>
      <c r="AB84" s="43" t="s">
        <v>128</v>
      </c>
    </row>
    <row r="85" spans="1:28" ht="24.75">
      <c r="A85" s="38">
        <v>35905</v>
      </c>
      <c r="B85" s="39" t="s">
        <v>129</v>
      </c>
      <c r="C85" s="40" t="s">
        <v>59</v>
      </c>
      <c r="D85" s="40" t="s">
        <v>891</v>
      </c>
      <c r="E85" s="48"/>
      <c r="F85" s="48"/>
      <c r="G85" s="48"/>
      <c r="H85" s="48"/>
      <c r="I85" s="48"/>
      <c r="J85" s="48"/>
      <c r="K85" s="49"/>
      <c r="L85" s="49"/>
      <c r="M85" s="49"/>
      <c r="N85" s="49"/>
      <c r="O85" s="49"/>
      <c r="P85" s="49"/>
      <c r="Q85" s="49"/>
      <c r="R85" s="49"/>
      <c r="S85" s="49"/>
      <c r="T85" s="41" t="s">
        <v>133</v>
      </c>
      <c r="U85" s="42"/>
      <c r="V85" s="42"/>
      <c r="W85" s="42"/>
      <c r="X85" s="42"/>
      <c r="Y85" s="42"/>
      <c r="Z85" s="42"/>
      <c r="AA85" s="127">
        <f t="shared" si="1"/>
        <v>0</v>
      </c>
      <c r="AB85" s="43" t="s">
        <v>134</v>
      </c>
    </row>
    <row r="86" spans="1:28" ht="12.75">
      <c r="A86" s="38">
        <v>35905</v>
      </c>
      <c r="B86" s="39" t="s">
        <v>41</v>
      </c>
      <c r="C86" s="40" t="s">
        <v>165</v>
      </c>
      <c r="D86" s="40" t="s">
        <v>821</v>
      </c>
      <c r="E86" s="48"/>
      <c r="F86" s="48"/>
      <c r="G86" s="48"/>
      <c r="H86" s="48">
        <v>75</v>
      </c>
      <c r="I86" s="48">
        <v>15</v>
      </c>
      <c r="J86" s="48">
        <v>5</v>
      </c>
      <c r="K86" s="49">
        <v>10</v>
      </c>
      <c r="L86" s="49">
        <v>1</v>
      </c>
      <c r="M86" s="49">
        <v>3</v>
      </c>
      <c r="N86" s="49"/>
      <c r="O86" s="49"/>
      <c r="P86" s="49"/>
      <c r="Q86" s="49"/>
      <c r="R86" s="49"/>
      <c r="S86" s="49"/>
      <c r="T86" s="41" t="s">
        <v>94</v>
      </c>
      <c r="U86" s="42"/>
      <c r="V86" s="42"/>
      <c r="W86" s="42"/>
      <c r="X86" s="42"/>
      <c r="Y86" s="42"/>
      <c r="Z86" s="42"/>
      <c r="AA86" s="127">
        <f t="shared" si="1"/>
        <v>0</v>
      </c>
      <c r="AB86" s="43" t="s">
        <v>166</v>
      </c>
    </row>
    <row r="87" spans="1:28" ht="16.5">
      <c r="A87" s="38">
        <v>35907</v>
      </c>
      <c r="B87" s="39" t="s">
        <v>829</v>
      </c>
      <c r="C87" s="40" t="s">
        <v>119</v>
      </c>
      <c r="D87" s="40" t="s">
        <v>891</v>
      </c>
      <c r="E87" s="48"/>
      <c r="F87" s="48"/>
      <c r="G87" s="48"/>
      <c r="H87" s="48">
        <v>200</v>
      </c>
      <c r="I87" s="48">
        <v>40</v>
      </c>
      <c r="J87" s="48"/>
      <c r="K87" s="49"/>
      <c r="L87" s="49"/>
      <c r="M87" s="49"/>
      <c r="N87" s="49"/>
      <c r="O87" s="49"/>
      <c r="P87" s="49"/>
      <c r="Q87" s="49"/>
      <c r="R87" s="49"/>
      <c r="S87" s="49"/>
      <c r="T87" s="41" t="s">
        <v>120</v>
      </c>
      <c r="U87" s="42"/>
      <c r="V87" s="42"/>
      <c r="W87" s="42"/>
      <c r="X87" s="42"/>
      <c r="Y87" s="42"/>
      <c r="Z87" s="42"/>
      <c r="AA87" s="127">
        <f t="shared" si="1"/>
        <v>0</v>
      </c>
      <c r="AB87" s="43" t="s">
        <v>121</v>
      </c>
    </row>
    <row r="88" spans="1:28" ht="12.75">
      <c r="A88" s="38">
        <v>35907</v>
      </c>
      <c r="B88" s="39" t="s">
        <v>39</v>
      </c>
      <c r="C88" s="40" t="s">
        <v>158</v>
      </c>
      <c r="D88" s="40" t="s">
        <v>821</v>
      </c>
      <c r="E88" s="48"/>
      <c r="F88" s="48"/>
      <c r="G88" s="48"/>
      <c r="H88" s="48"/>
      <c r="I88" s="48"/>
      <c r="J88" s="48"/>
      <c r="K88" s="49"/>
      <c r="L88" s="49"/>
      <c r="M88" s="49"/>
      <c r="N88" s="49"/>
      <c r="O88" s="49"/>
      <c r="P88" s="49"/>
      <c r="Q88" s="49"/>
      <c r="R88" s="49"/>
      <c r="S88" s="49"/>
      <c r="T88" s="41"/>
      <c r="U88" s="42">
        <v>23791380</v>
      </c>
      <c r="V88" s="42">
        <v>4600000</v>
      </c>
      <c r="W88" s="42"/>
      <c r="X88" s="42"/>
      <c r="Y88" s="42"/>
      <c r="Z88" s="42"/>
      <c r="AA88" s="127">
        <f t="shared" si="1"/>
        <v>28391380</v>
      </c>
      <c r="AB88" s="43" t="s">
        <v>159</v>
      </c>
    </row>
    <row r="89" spans="1:28" ht="12.75">
      <c r="A89" s="38">
        <v>35908</v>
      </c>
      <c r="B89" s="39" t="s">
        <v>49</v>
      </c>
      <c r="C89" s="40" t="s">
        <v>170</v>
      </c>
      <c r="D89" s="40" t="s">
        <v>911</v>
      </c>
      <c r="E89" s="48"/>
      <c r="F89" s="48"/>
      <c r="G89" s="48"/>
      <c r="H89" s="48">
        <v>435</v>
      </c>
      <c r="I89" s="48">
        <v>87</v>
      </c>
      <c r="J89" s="48"/>
      <c r="K89" s="49"/>
      <c r="L89" s="49"/>
      <c r="M89" s="49"/>
      <c r="N89" s="49"/>
      <c r="O89" s="49"/>
      <c r="P89" s="49"/>
      <c r="Q89" s="49"/>
      <c r="R89" s="49"/>
      <c r="S89" s="49"/>
      <c r="T89" s="41"/>
      <c r="U89" s="42">
        <v>22515792</v>
      </c>
      <c r="V89" s="42">
        <v>2300000</v>
      </c>
      <c r="W89" s="42"/>
      <c r="X89" s="42"/>
      <c r="Y89" s="42"/>
      <c r="Z89" s="42"/>
      <c r="AA89" s="127">
        <f t="shared" si="1"/>
        <v>24815792</v>
      </c>
      <c r="AB89" s="43" t="s">
        <v>171</v>
      </c>
    </row>
    <row r="90" spans="1:28" ht="24.75">
      <c r="A90" s="38">
        <v>35909</v>
      </c>
      <c r="B90" s="39" t="s">
        <v>829</v>
      </c>
      <c r="C90" s="40" t="s">
        <v>122</v>
      </c>
      <c r="D90" s="40" t="s">
        <v>821</v>
      </c>
      <c r="E90" s="48"/>
      <c r="F90" s="48"/>
      <c r="G90" s="48"/>
      <c r="H90" s="48">
        <v>640</v>
      </c>
      <c r="I90" s="48">
        <v>80</v>
      </c>
      <c r="J90" s="48"/>
      <c r="K90" s="49"/>
      <c r="L90" s="49"/>
      <c r="M90" s="49"/>
      <c r="N90" s="49"/>
      <c r="O90" s="49"/>
      <c r="P90" s="49"/>
      <c r="Q90" s="49"/>
      <c r="R90" s="49"/>
      <c r="S90" s="49"/>
      <c r="T90" s="41"/>
      <c r="U90" s="42"/>
      <c r="V90" s="42"/>
      <c r="W90" s="42"/>
      <c r="X90" s="42"/>
      <c r="Y90" s="42"/>
      <c r="Z90" s="42"/>
      <c r="AA90" s="127">
        <f t="shared" si="1"/>
        <v>0</v>
      </c>
      <c r="AB90" s="43" t="s">
        <v>125</v>
      </c>
    </row>
    <row r="91" spans="1:28" ht="12.75">
      <c r="A91" s="38">
        <v>35914</v>
      </c>
      <c r="B91" s="39" t="s">
        <v>34</v>
      </c>
      <c r="C91" s="40" t="s">
        <v>157</v>
      </c>
      <c r="D91" s="40" t="s">
        <v>911</v>
      </c>
      <c r="E91" s="48"/>
      <c r="F91" s="48"/>
      <c r="G91" s="48"/>
      <c r="H91" s="48">
        <v>689</v>
      </c>
      <c r="I91" s="48">
        <v>136</v>
      </c>
      <c r="J91" s="48">
        <v>6</v>
      </c>
      <c r="K91" s="49">
        <v>4</v>
      </c>
      <c r="L91" s="49">
        <v>1</v>
      </c>
      <c r="M91" s="49"/>
      <c r="N91" s="49"/>
      <c r="O91" s="49"/>
      <c r="P91" s="49"/>
      <c r="Q91" s="49"/>
      <c r="R91" s="49">
        <v>1</v>
      </c>
      <c r="S91" s="49"/>
      <c r="T91" s="41" t="s">
        <v>94</v>
      </c>
      <c r="U91" s="42"/>
      <c r="V91" s="42"/>
      <c r="W91" s="42">
        <v>1721440</v>
      </c>
      <c r="X91" s="42"/>
      <c r="Y91" s="42"/>
      <c r="Z91" s="42"/>
      <c r="AA91" s="127">
        <f t="shared" si="1"/>
        <v>1721440</v>
      </c>
      <c r="AB91" s="43"/>
    </row>
    <row r="92" spans="1:28" ht="12.75">
      <c r="A92" s="38">
        <v>35915</v>
      </c>
      <c r="B92" s="39" t="s">
        <v>22</v>
      </c>
      <c r="C92" s="40" t="s">
        <v>29</v>
      </c>
      <c r="D92" s="40" t="s">
        <v>821</v>
      </c>
      <c r="E92" s="48"/>
      <c r="F92" s="48"/>
      <c r="G92" s="48"/>
      <c r="H92" s="48">
        <v>160</v>
      </c>
      <c r="I92" s="48">
        <v>32</v>
      </c>
      <c r="J92" s="48"/>
      <c r="K92" s="49">
        <v>32</v>
      </c>
      <c r="L92" s="49"/>
      <c r="M92" s="49"/>
      <c r="N92" s="49"/>
      <c r="O92" s="49"/>
      <c r="P92" s="49"/>
      <c r="Q92" s="49"/>
      <c r="R92" s="49"/>
      <c r="S92" s="49"/>
      <c r="T92" s="41" t="s">
        <v>94</v>
      </c>
      <c r="U92" s="42"/>
      <c r="V92" s="42"/>
      <c r="W92" s="42"/>
      <c r="X92" s="42"/>
      <c r="Y92" s="42"/>
      <c r="Z92" s="42"/>
      <c r="AA92" s="127">
        <f t="shared" si="1"/>
        <v>0</v>
      </c>
      <c r="AB92" s="43" t="s">
        <v>148</v>
      </c>
    </row>
    <row r="93" spans="1:28" ht="12.75">
      <c r="A93" s="38">
        <v>35915</v>
      </c>
      <c r="B93" s="39" t="s">
        <v>22</v>
      </c>
      <c r="C93" s="40" t="s">
        <v>29</v>
      </c>
      <c r="D93" s="40" t="s">
        <v>911</v>
      </c>
      <c r="E93" s="48"/>
      <c r="F93" s="48"/>
      <c r="G93" s="48"/>
      <c r="H93" s="48">
        <v>225</v>
      </c>
      <c r="I93" s="48">
        <v>45</v>
      </c>
      <c r="J93" s="48">
        <v>7</v>
      </c>
      <c r="K93" s="49">
        <v>38</v>
      </c>
      <c r="L93" s="49"/>
      <c r="M93" s="49"/>
      <c r="N93" s="49"/>
      <c r="O93" s="49"/>
      <c r="P93" s="49"/>
      <c r="Q93" s="49"/>
      <c r="R93" s="49"/>
      <c r="S93" s="49"/>
      <c r="T93" s="41"/>
      <c r="U93" s="42"/>
      <c r="V93" s="42"/>
      <c r="W93" s="42"/>
      <c r="X93" s="42"/>
      <c r="Y93" s="42"/>
      <c r="Z93" s="42"/>
      <c r="AA93" s="127">
        <f t="shared" si="1"/>
        <v>0</v>
      </c>
      <c r="AB93" s="43" t="s">
        <v>146</v>
      </c>
    </row>
    <row r="94" spans="1:28" ht="12.75">
      <c r="A94" s="38">
        <v>35915</v>
      </c>
      <c r="B94" s="39" t="s">
        <v>22</v>
      </c>
      <c r="C94" s="40" t="s">
        <v>147</v>
      </c>
      <c r="D94" s="40" t="s">
        <v>911</v>
      </c>
      <c r="E94" s="48"/>
      <c r="F94" s="48"/>
      <c r="G94" s="48"/>
      <c r="H94" s="48">
        <v>310</v>
      </c>
      <c r="I94" s="48">
        <v>62</v>
      </c>
      <c r="J94" s="48">
        <v>15</v>
      </c>
      <c r="K94" s="49"/>
      <c r="L94" s="49"/>
      <c r="M94" s="49"/>
      <c r="N94" s="49"/>
      <c r="O94" s="49"/>
      <c r="P94" s="49"/>
      <c r="Q94" s="49"/>
      <c r="R94" s="49"/>
      <c r="S94" s="49"/>
      <c r="T94" s="41"/>
      <c r="U94" s="42"/>
      <c r="V94" s="42"/>
      <c r="W94" s="42"/>
      <c r="X94" s="42"/>
      <c r="Y94" s="42"/>
      <c r="Z94" s="42"/>
      <c r="AA94" s="127">
        <f t="shared" si="1"/>
        <v>0</v>
      </c>
      <c r="AB94" s="43"/>
    </row>
    <row r="95" spans="1:28" ht="12.75">
      <c r="A95" s="38">
        <v>35915</v>
      </c>
      <c r="B95" s="39" t="s">
        <v>22</v>
      </c>
      <c r="C95" s="40" t="s">
        <v>29</v>
      </c>
      <c r="D95" s="40" t="s">
        <v>911</v>
      </c>
      <c r="E95" s="48"/>
      <c r="F95" s="48"/>
      <c r="G95" s="48"/>
      <c r="H95" s="48">
        <v>225</v>
      </c>
      <c r="I95" s="48">
        <v>45</v>
      </c>
      <c r="J95" s="48">
        <v>7</v>
      </c>
      <c r="K95" s="49">
        <v>38</v>
      </c>
      <c r="L95" s="49"/>
      <c r="M95" s="49"/>
      <c r="N95" s="49"/>
      <c r="O95" s="49"/>
      <c r="P95" s="49"/>
      <c r="Q95" s="49"/>
      <c r="R95" s="49"/>
      <c r="S95" s="49"/>
      <c r="T95" s="41" t="s">
        <v>94</v>
      </c>
      <c r="U95" s="42"/>
      <c r="V95" s="42"/>
      <c r="W95" s="42"/>
      <c r="X95" s="42"/>
      <c r="Y95" s="42"/>
      <c r="Z95" s="42"/>
      <c r="AA95" s="127">
        <f t="shared" si="1"/>
        <v>0</v>
      </c>
      <c r="AB95" s="43" t="s">
        <v>149</v>
      </c>
    </row>
    <row r="96" spans="1:28" ht="16.5">
      <c r="A96" s="38">
        <v>35915</v>
      </c>
      <c r="B96" s="39" t="s">
        <v>22</v>
      </c>
      <c r="C96" s="40" t="s">
        <v>150</v>
      </c>
      <c r="D96" s="40" t="s">
        <v>911</v>
      </c>
      <c r="E96" s="48"/>
      <c r="F96" s="48"/>
      <c r="G96" s="48"/>
      <c r="H96" s="48">
        <v>300</v>
      </c>
      <c r="I96" s="48">
        <v>60</v>
      </c>
      <c r="J96" s="48"/>
      <c r="K96" s="49">
        <v>30</v>
      </c>
      <c r="L96" s="49"/>
      <c r="M96" s="49"/>
      <c r="N96" s="49"/>
      <c r="O96" s="49"/>
      <c r="P96" s="49"/>
      <c r="Q96" s="49"/>
      <c r="R96" s="49"/>
      <c r="S96" s="49"/>
      <c r="T96" s="41" t="s">
        <v>151</v>
      </c>
      <c r="U96" s="42"/>
      <c r="V96" s="42"/>
      <c r="W96" s="42"/>
      <c r="X96" s="42"/>
      <c r="Y96" s="42"/>
      <c r="Z96" s="42"/>
      <c r="AA96" s="127">
        <f t="shared" si="1"/>
        <v>0</v>
      </c>
      <c r="AB96" s="43"/>
    </row>
    <row r="97" spans="1:28" ht="16.5">
      <c r="A97" s="38">
        <v>35916</v>
      </c>
      <c r="B97" s="39" t="s">
        <v>34</v>
      </c>
      <c r="C97" s="40" t="s">
        <v>299</v>
      </c>
      <c r="D97" s="40" t="s">
        <v>891</v>
      </c>
      <c r="E97" s="48"/>
      <c r="F97" s="48"/>
      <c r="G97" s="48"/>
      <c r="H97" s="48">
        <v>30</v>
      </c>
      <c r="I97" s="48">
        <v>6</v>
      </c>
      <c r="J97" s="48"/>
      <c r="K97" s="49">
        <v>6</v>
      </c>
      <c r="L97" s="49">
        <v>1</v>
      </c>
      <c r="M97" s="49"/>
      <c r="N97" s="49"/>
      <c r="O97" s="49"/>
      <c r="P97" s="49"/>
      <c r="Q97" s="49"/>
      <c r="R97" s="49"/>
      <c r="S97" s="49"/>
      <c r="T97" s="41"/>
      <c r="U97" s="42"/>
      <c r="V97" s="42"/>
      <c r="W97" s="42"/>
      <c r="X97" s="42"/>
      <c r="Y97" s="42"/>
      <c r="Z97" s="42"/>
      <c r="AA97" s="127">
        <f t="shared" si="1"/>
        <v>0</v>
      </c>
      <c r="AB97" s="43" t="s">
        <v>300</v>
      </c>
    </row>
    <row r="98" spans="1:28" ht="12.75">
      <c r="A98" s="38">
        <v>35916</v>
      </c>
      <c r="B98" s="39" t="s">
        <v>34</v>
      </c>
      <c r="C98" s="40" t="s">
        <v>301</v>
      </c>
      <c r="D98" s="40" t="s">
        <v>911</v>
      </c>
      <c r="E98" s="48"/>
      <c r="F98" s="48"/>
      <c r="G98" s="48"/>
      <c r="H98" s="48">
        <v>500</v>
      </c>
      <c r="I98" s="48">
        <v>100</v>
      </c>
      <c r="J98" s="48"/>
      <c r="K98" s="49">
        <v>100</v>
      </c>
      <c r="L98" s="49"/>
      <c r="M98" s="49"/>
      <c r="N98" s="49"/>
      <c r="O98" s="49"/>
      <c r="P98" s="49"/>
      <c r="Q98" s="49"/>
      <c r="R98" s="49"/>
      <c r="S98" s="49"/>
      <c r="T98" s="41"/>
      <c r="U98" s="42"/>
      <c r="V98" s="42">
        <v>2300000</v>
      </c>
      <c r="W98" s="42">
        <v>2754304</v>
      </c>
      <c r="X98" s="42"/>
      <c r="Y98" s="42"/>
      <c r="Z98" s="42"/>
      <c r="AA98" s="127">
        <f t="shared" si="1"/>
        <v>5054304</v>
      </c>
      <c r="AB98" s="43" t="s">
        <v>302</v>
      </c>
    </row>
    <row r="99" spans="1:28" ht="16.5">
      <c r="A99" s="38">
        <v>35916</v>
      </c>
      <c r="B99" s="39" t="s">
        <v>34</v>
      </c>
      <c r="C99" s="40" t="s">
        <v>303</v>
      </c>
      <c r="D99" s="40" t="s">
        <v>911</v>
      </c>
      <c r="E99" s="48"/>
      <c r="F99" s="48"/>
      <c r="G99" s="48"/>
      <c r="H99" s="48">
        <v>225</v>
      </c>
      <c r="I99" s="48">
        <v>45</v>
      </c>
      <c r="J99" s="48"/>
      <c r="K99" s="49">
        <v>45</v>
      </c>
      <c r="L99" s="49"/>
      <c r="M99" s="49"/>
      <c r="N99" s="49"/>
      <c r="O99" s="49"/>
      <c r="P99" s="49"/>
      <c r="Q99" s="49"/>
      <c r="R99" s="49"/>
      <c r="S99" s="49"/>
      <c r="T99" s="41"/>
      <c r="U99" s="42">
        <v>1509517.8</v>
      </c>
      <c r="V99" s="42"/>
      <c r="W99" s="42"/>
      <c r="X99" s="42"/>
      <c r="Y99" s="42"/>
      <c r="Z99" s="42"/>
      <c r="AA99" s="127">
        <f t="shared" si="1"/>
        <v>1509517.8</v>
      </c>
      <c r="AB99" s="43" t="s">
        <v>304</v>
      </c>
    </row>
    <row r="100" spans="1:28" ht="12.75">
      <c r="A100" s="38">
        <v>35916</v>
      </c>
      <c r="B100" s="39" t="s">
        <v>889</v>
      </c>
      <c r="C100" s="40" t="s">
        <v>890</v>
      </c>
      <c r="D100" s="40" t="s">
        <v>891</v>
      </c>
      <c r="E100" s="48"/>
      <c r="F100" s="48">
        <v>7</v>
      </c>
      <c r="G100" s="48"/>
      <c r="H100" s="48">
        <v>350</v>
      </c>
      <c r="I100" s="48">
        <v>35</v>
      </c>
      <c r="J100" s="48">
        <v>15</v>
      </c>
      <c r="K100" s="49">
        <v>5</v>
      </c>
      <c r="L100" s="49"/>
      <c r="M100" s="49"/>
      <c r="N100" s="49"/>
      <c r="O100" s="49"/>
      <c r="P100" s="49"/>
      <c r="Q100" s="49"/>
      <c r="R100" s="49">
        <v>1</v>
      </c>
      <c r="S100" s="49">
        <v>2</v>
      </c>
      <c r="T100" s="41"/>
      <c r="U100" s="42">
        <v>1618692</v>
      </c>
      <c r="V100" s="42">
        <v>6900000</v>
      </c>
      <c r="W100" s="42">
        <v>3442880</v>
      </c>
      <c r="X100" s="42"/>
      <c r="Y100" s="42"/>
      <c r="Z100" s="42"/>
      <c r="AA100" s="127">
        <f t="shared" si="1"/>
        <v>11961572</v>
      </c>
      <c r="AB100" s="43"/>
    </row>
    <row r="101" spans="1:28" ht="22.5">
      <c r="A101" s="38">
        <v>35916</v>
      </c>
      <c r="B101" s="39" t="s">
        <v>49</v>
      </c>
      <c r="C101" s="40" t="s">
        <v>418</v>
      </c>
      <c r="D101" s="40" t="s">
        <v>821</v>
      </c>
      <c r="E101" s="48"/>
      <c r="F101" s="48"/>
      <c r="G101" s="48"/>
      <c r="H101" s="48">
        <v>25</v>
      </c>
      <c r="I101" s="48">
        <v>5</v>
      </c>
      <c r="J101" s="48"/>
      <c r="K101" s="49">
        <v>5</v>
      </c>
      <c r="L101" s="49"/>
      <c r="M101" s="49"/>
      <c r="N101" s="49"/>
      <c r="O101" s="49"/>
      <c r="P101" s="49"/>
      <c r="Q101" s="49"/>
      <c r="R101" s="49"/>
      <c r="S101" s="49"/>
      <c r="T101" s="41"/>
      <c r="U101" s="42"/>
      <c r="V101" s="42"/>
      <c r="W101" s="42"/>
      <c r="X101" s="42"/>
      <c r="Y101" s="42"/>
      <c r="Z101" s="42"/>
      <c r="AA101" s="127">
        <f t="shared" si="1"/>
        <v>0</v>
      </c>
      <c r="AB101" s="43" t="s">
        <v>419</v>
      </c>
    </row>
    <row r="102" spans="1:28" ht="12.75">
      <c r="A102" s="38">
        <v>35917</v>
      </c>
      <c r="B102" s="39" t="s">
        <v>49</v>
      </c>
      <c r="C102" s="40" t="s">
        <v>50</v>
      </c>
      <c r="D102" s="40" t="s">
        <v>911</v>
      </c>
      <c r="E102" s="48"/>
      <c r="F102" s="48"/>
      <c r="G102" s="48"/>
      <c r="H102" s="48">
        <v>85</v>
      </c>
      <c r="I102" s="48">
        <v>17</v>
      </c>
      <c r="J102" s="48"/>
      <c r="K102" s="49">
        <v>17</v>
      </c>
      <c r="L102" s="49"/>
      <c r="M102" s="49"/>
      <c r="N102" s="49"/>
      <c r="O102" s="49"/>
      <c r="P102" s="49"/>
      <c r="Q102" s="49"/>
      <c r="R102" s="49"/>
      <c r="S102" s="49"/>
      <c r="T102" s="41"/>
      <c r="U102" s="42"/>
      <c r="V102" s="42"/>
      <c r="W102" s="42"/>
      <c r="X102" s="42"/>
      <c r="Y102" s="42"/>
      <c r="Z102" s="42"/>
      <c r="AA102" s="127">
        <f t="shared" si="1"/>
        <v>0</v>
      </c>
      <c r="AB102" s="43"/>
    </row>
    <row r="103" spans="1:28" ht="24.75">
      <c r="A103" s="38">
        <v>35918</v>
      </c>
      <c r="B103" s="39" t="s">
        <v>16</v>
      </c>
      <c r="C103" s="40" t="s">
        <v>288</v>
      </c>
      <c r="D103" s="40" t="s">
        <v>821</v>
      </c>
      <c r="E103" s="48"/>
      <c r="F103" s="48">
        <v>4</v>
      </c>
      <c r="G103" s="48"/>
      <c r="H103" s="48">
        <v>192</v>
      </c>
      <c r="I103" s="48">
        <v>38</v>
      </c>
      <c r="J103" s="48">
        <v>1</v>
      </c>
      <c r="K103" s="49">
        <v>10</v>
      </c>
      <c r="L103" s="49"/>
      <c r="M103" s="49"/>
      <c r="N103" s="49"/>
      <c r="O103" s="49"/>
      <c r="P103" s="49"/>
      <c r="Q103" s="49"/>
      <c r="R103" s="49"/>
      <c r="S103" s="49"/>
      <c r="T103" s="41"/>
      <c r="U103" s="42"/>
      <c r="V103" s="42"/>
      <c r="W103" s="42"/>
      <c r="X103" s="42"/>
      <c r="Y103" s="42"/>
      <c r="Z103" s="42"/>
      <c r="AA103" s="127">
        <f t="shared" si="1"/>
        <v>0</v>
      </c>
      <c r="AB103" s="43" t="s">
        <v>289</v>
      </c>
    </row>
    <row r="104" spans="1:28" ht="12.75">
      <c r="A104" s="38">
        <v>35918</v>
      </c>
      <c r="B104" s="39" t="s">
        <v>49</v>
      </c>
      <c r="C104" s="40" t="s">
        <v>170</v>
      </c>
      <c r="D104" s="40" t="s">
        <v>821</v>
      </c>
      <c r="E104" s="48"/>
      <c r="F104" s="48"/>
      <c r="G104" s="48"/>
      <c r="H104" s="48"/>
      <c r="I104" s="48"/>
      <c r="J104" s="48"/>
      <c r="K104" s="49"/>
      <c r="L104" s="49"/>
      <c r="M104" s="49"/>
      <c r="N104" s="49"/>
      <c r="O104" s="49"/>
      <c r="P104" s="49">
        <v>1</v>
      </c>
      <c r="Q104" s="49"/>
      <c r="R104" s="49"/>
      <c r="S104" s="49"/>
      <c r="T104" s="41"/>
      <c r="U104" s="42"/>
      <c r="V104" s="42"/>
      <c r="W104" s="42"/>
      <c r="X104" s="42"/>
      <c r="Y104" s="42"/>
      <c r="Z104" s="42"/>
      <c r="AA104" s="127">
        <f t="shared" si="1"/>
        <v>0</v>
      </c>
      <c r="AB104" s="43"/>
    </row>
    <row r="105" spans="1:28" ht="12.75">
      <c r="A105" s="38">
        <v>35918</v>
      </c>
      <c r="B105" s="39" t="s">
        <v>49</v>
      </c>
      <c r="C105" s="40" t="s">
        <v>415</v>
      </c>
      <c r="D105" s="40" t="s">
        <v>821</v>
      </c>
      <c r="E105" s="48"/>
      <c r="F105" s="48"/>
      <c r="G105" s="48"/>
      <c r="H105" s="48">
        <v>5</v>
      </c>
      <c r="I105" s="48">
        <v>1</v>
      </c>
      <c r="J105" s="48">
        <v>1</v>
      </c>
      <c r="K105" s="49"/>
      <c r="L105" s="49"/>
      <c r="M105" s="49"/>
      <c r="N105" s="49"/>
      <c r="O105" s="49"/>
      <c r="P105" s="49"/>
      <c r="Q105" s="49"/>
      <c r="R105" s="49"/>
      <c r="S105" s="49"/>
      <c r="T105" s="41"/>
      <c r="U105" s="42"/>
      <c r="V105" s="42"/>
      <c r="W105" s="42"/>
      <c r="X105" s="42"/>
      <c r="Y105" s="42"/>
      <c r="Z105" s="42"/>
      <c r="AA105" s="127">
        <f t="shared" si="1"/>
        <v>0</v>
      </c>
      <c r="AB105" s="43"/>
    </row>
    <row r="106" spans="1:28" ht="22.5">
      <c r="A106" s="38">
        <v>35918</v>
      </c>
      <c r="B106" s="39" t="s">
        <v>49</v>
      </c>
      <c r="C106" s="40" t="s">
        <v>416</v>
      </c>
      <c r="D106" s="40" t="s">
        <v>821</v>
      </c>
      <c r="E106" s="48"/>
      <c r="F106" s="48"/>
      <c r="G106" s="48"/>
      <c r="H106" s="48">
        <v>400</v>
      </c>
      <c r="I106" s="48">
        <v>80</v>
      </c>
      <c r="J106" s="48"/>
      <c r="K106" s="49"/>
      <c r="L106" s="49">
        <v>1</v>
      </c>
      <c r="M106" s="49"/>
      <c r="N106" s="49"/>
      <c r="O106" s="49"/>
      <c r="P106" s="49"/>
      <c r="Q106" s="49"/>
      <c r="R106" s="49"/>
      <c r="S106" s="49"/>
      <c r="T106" s="41" t="s">
        <v>94</v>
      </c>
      <c r="U106" s="42"/>
      <c r="V106" s="42"/>
      <c r="W106" s="42"/>
      <c r="X106" s="42"/>
      <c r="Y106" s="42"/>
      <c r="Z106" s="42"/>
      <c r="AA106" s="127">
        <f t="shared" si="1"/>
        <v>0</v>
      </c>
      <c r="AB106" s="43" t="s">
        <v>417</v>
      </c>
    </row>
    <row r="107" spans="1:28" ht="12.75">
      <c r="A107" s="38">
        <v>35918</v>
      </c>
      <c r="B107" s="39" t="s">
        <v>49</v>
      </c>
      <c r="C107" s="40" t="s">
        <v>59</v>
      </c>
      <c r="D107" s="40" t="s">
        <v>821</v>
      </c>
      <c r="E107" s="48"/>
      <c r="F107" s="48"/>
      <c r="G107" s="48"/>
      <c r="H107" s="48"/>
      <c r="I107" s="48"/>
      <c r="J107" s="48"/>
      <c r="K107" s="49"/>
      <c r="L107" s="49"/>
      <c r="M107" s="49"/>
      <c r="N107" s="49"/>
      <c r="O107" s="49"/>
      <c r="P107" s="49"/>
      <c r="Q107" s="49"/>
      <c r="R107" s="49"/>
      <c r="S107" s="49"/>
      <c r="T107" s="41"/>
      <c r="U107" s="42"/>
      <c r="V107" s="42"/>
      <c r="W107" s="42"/>
      <c r="X107" s="42"/>
      <c r="Y107" s="42"/>
      <c r="Z107" s="42"/>
      <c r="AA107" s="127">
        <f t="shared" si="1"/>
        <v>0</v>
      </c>
      <c r="AB107" s="43"/>
    </row>
    <row r="108" spans="1:28" ht="12.75">
      <c r="A108" s="38">
        <v>35919</v>
      </c>
      <c r="B108" s="39" t="s">
        <v>59</v>
      </c>
      <c r="C108" s="40" t="s">
        <v>207</v>
      </c>
      <c r="D108" s="40" t="s">
        <v>821</v>
      </c>
      <c r="E108" s="48"/>
      <c r="F108" s="48"/>
      <c r="G108" s="48"/>
      <c r="H108" s="48">
        <v>336</v>
      </c>
      <c r="I108" s="48">
        <v>56</v>
      </c>
      <c r="J108" s="48"/>
      <c r="K108" s="49"/>
      <c r="L108" s="49"/>
      <c r="M108" s="49"/>
      <c r="N108" s="49"/>
      <c r="O108" s="49"/>
      <c r="P108" s="49"/>
      <c r="Q108" s="49"/>
      <c r="R108" s="49"/>
      <c r="S108" s="49"/>
      <c r="T108" s="41" t="s">
        <v>208</v>
      </c>
      <c r="U108" s="42">
        <v>1978620.56</v>
      </c>
      <c r="V108" s="42">
        <v>1288000</v>
      </c>
      <c r="W108" s="42"/>
      <c r="X108" s="42"/>
      <c r="Y108" s="42"/>
      <c r="Z108" s="42"/>
      <c r="AA108" s="127">
        <f t="shared" si="1"/>
        <v>3266620.56</v>
      </c>
      <c r="AB108" s="43"/>
    </row>
    <row r="109" spans="1:28" ht="16.5">
      <c r="A109" s="38">
        <v>35919</v>
      </c>
      <c r="B109" s="39" t="s">
        <v>59</v>
      </c>
      <c r="C109" s="40" t="s">
        <v>209</v>
      </c>
      <c r="D109" s="40" t="s">
        <v>821</v>
      </c>
      <c r="E109" s="48"/>
      <c r="F109" s="48"/>
      <c r="G109" s="48"/>
      <c r="H109" s="48"/>
      <c r="I109" s="48"/>
      <c r="J109" s="48"/>
      <c r="K109" s="49"/>
      <c r="L109" s="49"/>
      <c r="M109" s="49"/>
      <c r="N109" s="49"/>
      <c r="O109" s="49"/>
      <c r="P109" s="49"/>
      <c r="Q109" s="49"/>
      <c r="R109" s="49"/>
      <c r="S109" s="49"/>
      <c r="T109" s="41"/>
      <c r="U109" s="42"/>
      <c r="V109" s="42"/>
      <c r="W109" s="42"/>
      <c r="X109" s="42"/>
      <c r="Y109" s="42"/>
      <c r="Z109" s="42"/>
      <c r="AA109" s="127">
        <f t="shared" si="1"/>
        <v>0</v>
      </c>
      <c r="AB109" s="43" t="s">
        <v>210</v>
      </c>
    </row>
    <row r="110" spans="1:29" ht="16.5">
      <c r="A110" s="38">
        <v>35919</v>
      </c>
      <c r="B110" s="39" t="s">
        <v>129</v>
      </c>
      <c r="C110" s="40" t="s">
        <v>253</v>
      </c>
      <c r="D110" s="40" t="s">
        <v>821</v>
      </c>
      <c r="E110" s="48"/>
      <c r="F110" s="48"/>
      <c r="G110" s="48"/>
      <c r="H110" s="48"/>
      <c r="I110" s="48"/>
      <c r="J110" s="48"/>
      <c r="K110" s="49"/>
      <c r="L110" s="49"/>
      <c r="M110" s="49"/>
      <c r="N110" s="49"/>
      <c r="O110" s="49"/>
      <c r="P110" s="49"/>
      <c r="Q110" s="49"/>
      <c r="R110" s="49"/>
      <c r="S110" s="49"/>
      <c r="T110" s="41" t="s">
        <v>254</v>
      </c>
      <c r="U110" s="42"/>
      <c r="V110" s="42"/>
      <c r="W110" s="42"/>
      <c r="X110" s="42"/>
      <c r="Y110" s="42"/>
      <c r="Z110" s="42"/>
      <c r="AA110" s="127">
        <f t="shared" si="1"/>
        <v>0</v>
      </c>
      <c r="AB110" s="43" t="s">
        <v>256</v>
      </c>
      <c r="AC110" s="4" t="s">
        <v>594</v>
      </c>
    </row>
    <row r="111" spans="1:29" ht="12.75">
      <c r="A111" s="38">
        <v>35919</v>
      </c>
      <c r="B111" s="39" t="s">
        <v>22</v>
      </c>
      <c r="C111" s="40" t="s">
        <v>147</v>
      </c>
      <c r="D111" s="40" t="s">
        <v>891</v>
      </c>
      <c r="E111" s="48"/>
      <c r="F111" s="48"/>
      <c r="G111" s="48"/>
      <c r="H111" s="48"/>
      <c r="I111" s="48"/>
      <c r="J111" s="48"/>
      <c r="K111" s="49"/>
      <c r="L111" s="49"/>
      <c r="M111" s="49"/>
      <c r="N111" s="49"/>
      <c r="O111" s="49"/>
      <c r="P111" s="49"/>
      <c r="Q111" s="49"/>
      <c r="R111" s="49"/>
      <c r="S111" s="49"/>
      <c r="T111" s="41"/>
      <c r="U111" s="42"/>
      <c r="V111" s="42"/>
      <c r="W111" s="42"/>
      <c r="X111" s="42"/>
      <c r="Y111" s="42"/>
      <c r="Z111" s="42"/>
      <c r="AA111" s="127">
        <f t="shared" si="1"/>
        <v>0</v>
      </c>
      <c r="AB111" s="43" t="s">
        <v>297</v>
      </c>
      <c r="AC111" s="4" t="s">
        <v>594</v>
      </c>
    </row>
    <row r="112" spans="1:29" ht="16.5">
      <c r="A112" s="38">
        <v>35919</v>
      </c>
      <c r="B112" s="39" t="s">
        <v>22</v>
      </c>
      <c r="C112" s="40" t="s">
        <v>295</v>
      </c>
      <c r="D112" s="40" t="s">
        <v>821</v>
      </c>
      <c r="E112" s="48"/>
      <c r="F112" s="48"/>
      <c r="G112" s="48"/>
      <c r="H112" s="48"/>
      <c r="I112" s="48"/>
      <c r="J112" s="48"/>
      <c r="K112" s="49"/>
      <c r="L112" s="49"/>
      <c r="M112" s="49"/>
      <c r="N112" s="49"/>
      <c r="O112" s="49"/>
      <c r="P112" s="49"/>
      <c r="Q112" s="49"/>
      <c r="R112" s="49"/>
      <c r="S112" s="49"/>
      <c r="T112" s="41"/>
      <c r="U112" s="42"/>
      <c r="V112" s="42"/>
      <c r="W112" s="42"/>
      <c r="X112" s="42"/>
      <c r="Y112" s="42"/>
      <c r="Z112" s="42"/>
      <c r="AA112" s="127">
        <f t="shared" si="1"/>
        <v>0</v>
      </c>
      <c r="AB112" s="43" t="s">
        <v>296</v>
      </c>
      <c r="AC112" s="4" t="s">
        <v>594</v>
      </c>
    </row>
    <row r="113" spans="1:29" ht="22.5">
      <c r="A113" s="38">
        <v>35919</v>
      </c>
      <c r="B113" s="39" t="s">
        <v>22</v>
      </c>
      <c r="C113" s="40" t="s">
        <v>775</v>
      </c>
      <c r="D113" s="40" t="s">
        <v>911</v>
      </c>
      <c r="E113" s="48"/>
      <c r="F113" s="48"/>
      <c r="G113" s="48"/>
      <c r="H113" s="48"/>
      <c r="I113" s="48"/>
      <c r="J113" s="48"/>
      <c r="K113" s="49"/>
      <c r="L113" s="49"/>
      <c r="M113" s="49"/>
      <c r="N113" s="49"/>
      <c r="O113" s="49"/>
      <c r="P113" s="49"/>
      <c r="Q113" s="49"/>
      <c r="R113" s="49"/>
      <c r="S113" s="49"/>
      <c r="T113" s="41"/>
      <c r="U113" s="42"/>
      <c r="V113" s="42"/>
      <c r="W113" s="42"/>
      <c r="X113" s="42"/>
      <c r="Y113" s="42"/>
      <c r="Z113" s="42"/>
      <c r="AA113" s="127">
        <f t="shared" si="1"/>
        <v>0</v>
      </c>
      <c r="AB113" s="43" t="s">
        <v>294</v>
      </c>
      <c r="AC113" s="4" t="s">
        <v>594</v>
      </c>
    </row>
    <row r="114" spans="1:29" ht="12.75">
      <c r="A114" s="38">
        <v>35919</v>
      </c>
      <c r="B114" s="39" t="s">
        <v>366</v>
      </c>
      <c r="C114" s="40" t="s">
        <v>367</v>
      </c>
      <c r="D114" s="40" t="s">
        <v>821</v>
      </c>
      <c r="E114" s="48"/>
      <c r="F114" s="48"/>
      <c r="G114" s="48"/>
      <c r="H114" s="48">
        <v>55</v>
      </c>
      <c r="I114" s="48">
        <v>11</v>
      </c>
      <c r="J114" s="48">
        <v>3</v>
      </c>
      <c r="K114" s="49"/>
      <c r="L114" s="49"/>
      <c r="M114" s="49"/>
      <c r="N114" s="49"/>
      <c r="O114" s="49">
        <v>1</v>
      </c>
      <c r="P114" s="49"/>
      <c r="Q114" s="49"/>
      <c r="R114" s="49"/>
      <c r="S114" s="49"/>
      <c r="T114" s="41"/>
      <c r="U114" s="42">
        <v>36152303.1</v>
      </c>
      <c r="V114" s="42">
        <v>11500000</v>
      </c>
      <c r="W114" s="42"/>
      <c r="X114" s="42"/>
      <c r="Y114" s="42"/>
      <c r="Z114" s="42"/>
      <c r="AA114" s="127">
        <f t="shared" si="1"/>
        <v>47652303.1</v>
      </c>
      <c r="AB114" s="43" t="s">
        <v>368</v>
      </c>
      <c r="AC114" s="4" t="s">
        <v>594</v>
      </c>
    </row>
    <row r="115" spans="1:28" ht="12.75">
      <c r="A115" s="38">
        <v>35920</v>
      </c>
      <c r="B115" s="39" t="s">
        <v>203</v>
      </c>
      <c r="C115" s="40" t="s">
        <v>204</v>
      </c>
      <c r="D115" s="40" t="s">
        <v>821</v>
      </c>
      <c r="E115" s="48"/>
      <c r="F115" s="48"/>
      <c r="G115" s="48"/>
      <c r="H115" s="48">
        <v>225</v>
      </c>
      <c r="I115" s="48">
        <v>45</v>
      </c>
      <c r="J115" s="48"/>
      <c r="K115" s="49"/>
      <c r="L115" s="49"/>
      <c r="M115" s="49"/>
      <c r="N115" s="49"/>
      <c r="O115" s="49"/>
      <c r="P115" s="49"/>
      <c r="Q115" s="49"/>
      <c r="R115" s="49"/>
      <c r="S115" s="49"/>
      <c r="T115" s="41"/>
      <c r="U115" s="42">
        <v>5941011.7</v>
      </c>
      <c r="V115" s="42"/>
      <c r="W115" s="42"/>
      <c r="X115" s="42"/>
      <c r="Y115" s="42"/>
      <c r="Z115" s="42"/>
      <c r="AA115" s="127">
        <f t="shared" si="1"/>
        <v>5941011.7</v>
      </c>
      <c r="AB115" s="43" t="s">
        <v>205</v>
      </c>
    </row>
    <row r="116" spans="1:28" ht="12.75">
      <c r="A116" s="38">
        <v>35920</v>
      </c>
      <c r="B116" s="39" t="s">
        <v>882</v>
      </c>
      <c r="C116" s="40" t="s">
        <v>305</v>
      </c>
      <c r="D116" s="40" t="s">
        <v>821</v>
      </c>
      <c r="E116" s="48"/>
      <c r="F116" s="48"/>
      <c r="G116" s="48"/>
      <c r="H116" s="48">
        <v>1310</v>
      </c>
      <c r="I116" s="48">
        <v>262</v>
      </c>
      <c r="J116" s="48">
        <v>2</v>
      </c>
      <c r="K116" s="49"/>
      <c r="L116" s="49"/>
      <c r="M116" s="49"/>
      <c r="N116" s="49">
        <v>2</v>
      </c>
      <c r="O116" s="49"/>
      <c r="P116" s="49"/>
      <c r="Q116" s="49"/>
      <c r="R116" s="49">
        <v>2</v>
      </c>
      <c r="S116" s="49"/>
      <c r="T116" s="41"/>
      <c r="U116" s="42">
        <v>21215208.959999993</v>
      </c>
      <c r="V116" s="42">
        <v>6026000</v>
      </c>
      <c r="W116" s="42"/>
      <c r="X116" s="42"/>
      <c r="Y116" s="42"/>
      <c r="Z116" s="42"/>
      <c r="AA116" s="127">
        <f t="shared" si="1"/>
        <v>27241208.959999993</v>
      </c>
      <c r="AB116" s="43" t="s">
        <v>306</v>
      </c>
    </row>
    <row r="117" spans="1:28" ht="12.75">
      <c r="A117" s="38">
        <v>35920</v>
      </c>
      <c r="B117" s="39" t="s">
        <v>882</v>
      </c>
      <c r="C117" s="40" t="s">
        <v>307</v>
      </c>
      <c r="D117" s="40" t="s">
        <v>821</v>
      </c>
      <c r="E117" s="48"/>
      <c r="F117" s="48"/>
      <c r="G117" s="48"/>
      <c r="H117" s="48"/>
      <c r="I117" s="48"/>
      <c r="J117" s="48"/>
      <c r="K117" s="49"/>
      <c r="L117" s="49"/>
      <c r="M117" s="49"/>
      <c r="N117" s="49"/>
      <c r="O117" s="49"/>
      <c r="P117" s="49"/>
      <c r="Q117" s="49"/>
      <c r="R117" s="49"/>
      <c r="S117" s="49"/>
      <c r="T117" s="41"/>
      <c r="U117" s="42"/>
      <c r="V117" s="42"/>
      <c r="W117" s="42"/>
      <c r="X117" s="42"/>
      <c r="Y117" s="42"/>
      <c r="Z117" s="42"/>
      <c r="AA117" s="127">
        <f t="shared" si="1"/>
        <v>0</v>
      </c>
      <c r="AB117" s="43" t="s">
        <v>177</v>
      </c>
    </row>
    <row r="118" spans="1:28" ht="24.75">
      <c r="A118" s="38">
        <v>35920</v>
      </c>
      <c r="B118" s="39" t="s">
        <v>310</v>
      </c>
      <c r="C118" s="40" t="s">
        <v>311</v>
      </c>
      <c r="D118" s="40" t="s">
        <v>891</v>
      </c>
      <c r="E118" s="48"/>
      <c r="F118" s="48"/>
      <c r="G118" s="48"/>
      <c r="H118" s="48"/>
      <c r="I118" s="48"/>
      <c r="J118" s="48"/>
      <c r="K118" s="49"/>
      <c r="L118" s="49"/>
      <c r="M118" s="49"/>
      <c r="N118" s="49"/>
      <c r="O118" s="49"/>
      <c r="P118" s="49"/>
      <c r="Q118" s="49"/>
      <c r="R118" s="49"/>
      <c r="S118" s="49"/>
      <c r="T118" s="41"/>
      <c r="U118" s="42"/>
      <c r="V118" s="42"/>
      <c r="W118" s="42"/>
      <c r="X118" s="42"/>
      <c r="Y118" s="42"/>
      <c r="Z118" s="42">
        <v>9000000</v>
      </c>
      <c r="AA118" s="127">
        <f t="shared" si="1"/>
        <v>9000000</v>
      </c>
      <c r="AB118" s="43" t="s">
        <v>312</v>
      </c>
    </row>
    <row r="119" spans="1:28" ht="16.5">
      <c r="A119" s="38">
        <v>35920</v>
      </c>
      <c r="B119" s="39" t="s">
        <v>899</v>
      </c>
      <c r="C119" s="40" t="s">
        <v>46</v>
      </c>
      <c r="D119" s="40" t="s">
        <v>821</v>
      </c>
      <c r="E119" s="48"/>
      <c r="F119" s="48"/>
      <c r="G119" s="48"/>
      <c r="H119" s="48">
        <v>1150</v>
      </c>
      <c r="I119" s="48">
        <v>230</v>
      </c>
      <c r="J119" s="48"/>
      <c r="K119" s="49"/>
      <c r="L119" s="49">
        <v>6</v>
      </c>
      <c r="M119" s="49"/>
      <c r="N119" s="49"/>
      <c r="O119" s="49"/>
      <c r="P119" s="49"/>
      <c r="Q119" s="49"/>
      <c r="R119" s="49"/>
      <c r="S119" s="49"/>
      <c r="T119" s="41"/>
      <c r="U119" s="42"/>
      <c r="V119" s="42"/>
      <c r="W119" s="42"/>
      <c r="X119" s="42"/>
      <c r="Y119" s="42"/>
      <c r="Z119" s="42"/>
      <c r="AA119" s="127">
        <f t="shared" si="1"/>
        <v>0</v>
      </c>
      <c r="AB119" s="43" t="s">
        <v>373</v>
      </c>
    </row>
    <row r="120" spans="1:28" ht="16.5">
      <c r="A120" s="38">
        <v>35921</v>
      </c>
      <c r="B120" s="39" t="s">
        <v>820</v>
      </c>
      <c r="C120" s="40" t="s">
        <v>174</v>
      </c>
      <c r="D120" s="40" t="s">
        <v>821</v>
      </c>
      <c r="E120" s="48"/>
      <c r="F120" s="48"/>
      <c r="G120" s="48"/>
      <c r="H120" s="48"/>
      <c r="I120" s="48"/>
      <c r="J120" s="48"/>
      <c r="K120" s="49"/>
      <c r="L120" s="49"/>
      <c r="M120" s="49"/>
      <c r="N120" s="49"/>
      <c r="O120" s="49"/>
      <c r="P120" s="49"/>
      <c r="Q120" s="49"/>
      <c r="R120" s="49"/>
      <c r="S120" s="49"/>
      <c r="T120" s="41"/>
      <c r="U120" s="42"/>
      <c r="V120" s="42"/>
      <c r="W120" s="42"/>
      <c r="X120" s="42"/>
      <c r="Y120" s="42"/>
      <c r="Z120" s="42"/>
      <c r="AA120" s="127">
        <f t="shared" si="1"/>
        <v>0</v>
      </c>
      <c r="AB120" s="43" t="s">
        <v>175</v>
      </c>
    </row>
    <row r="121" spans="1:28" ht="12.75">
      <c r="A121" s="38">
        <v>35921</v>
      </c>
      <c r="B121" s="39" t="s">
        <v>820</v>
      </c>
      <c r="C121" s="40" t="s">
        <v>176</v>
      </c>
      <c r="D121" s="40" t="s">
        <v>821</v>
      </c>
      <c r="E121" s="48"/>
      <c r="F121" s="48"/>
      <c r="G121" s="48"/>
      <c r="H121" s="48"/>
      <c r="I121" s="48"/>
      <c r="J121" s="48"/>
      <c r="K121" s="49"/>
      <c r="L121" s="49"/>
      <c r="M121" s="49"/>
      <c r="N121" s="49"/>
      <c r="O121" s="49"/>
      <c r="P121" s="49"/>
      <c r="Q121" s="49"/>
      <c r="R121" s="49"/>
      <c r="S121" s="49"/>
      <c r="T121" s="41"/>
      <c r="U121" s="42"/>
      <c r="V121" s="42"/>
      <c r="W121" s="42"/>
      <c r="X121" s="42"/>
      <c r="Y121" s="42"/>
      <c r="Z121" s="42"/>
      <c r="AA121" s="127">
        <f t="shared" si="1"/>
        <v>0</v>
      </c>
      <c r="AB121" s="43" t="s">
        <v>177</v>
      </c>
    </row>
    <row r="122" spans="1:28" ht="12.75">
      <c r="A122" s="38">
        <v>35921</v>
      </c>
      <c r="B122" s="39" t="s">
        <v>820</v>
      </c>
      <c r="C122" s="40" t="s">
        <v>180</v>
      </c>
      <c r="D122" s="40" t="s">
        <v>821</v>
      </c>
      <c r="E122" s="48"/>
      <c r="F122" s="48"/>
      <c r="G122" s="48"/>
      <c r="H122" s="48"/>
      <c r="I122" s="48"/>
      <c r="J122" s="48"/>
      <c r="K122" s="49"/>
      <c r="L122" s="49"/>
      <c r="M122" s="49"/>
      <c r="N122" s="49"/>
      <c r="O122" s="49"/>
      <c r="P122" s="49"/>
      <c r="Q122" s="49"/>
      <c r="R122" s="49"/>
      <c r="S122" s="49"/>
      <c r="T122" s="41"/>
      <c r="U122" s="42"/>
      <c r="V122" s="42"/>
      <c r="W122" s="42"/>
      <c r="X122" s="42"/>
      <c r="Y122" s="42"/>
      <c r="Z122" s="42"/>
      <c r="AA122" s="127">
        <f t="shared" si="1"/>
        <v>0</v>
      </c>
      <c r="AB122" s="43" t="s">
        <v>181</v>
      </c>
    </row>
    <row r="123" spans="1:28" ht="33">
      <c r="A123" s="38">
        <v>35921</v>
      </c>
      <c r="B123" s="39" t="s">
        <v>203</v>
      </c>
      <c r="C123" s="40" t="s">
        <v>875</v>
      </c>
      <c r="D123" s="40" t="s">
        <v>821</v>
      </c>
      <c r="E123" s="48"/>
      <c r="F123" s="48"/>
      <c r="G123" s="48"/>
      <c r="H123" s="48"/>
      <c r="I123" s="48"/>
      <c r="J123" s="48"/>
      <c r="K123" s="49"/>
      <c r="L123" s="49"/>
      <c r="M123" s="49"/>
      <c r="N123" s="49"/>
      <c r="O123" s="49"/>
      <c r="P123" s="49"/>
      <c r="Q123" s="49"/>
      <c r="R123" s="49"/>
      <c r="S123" s="49"/>
      <c r="T123" s="41"/>
      <c r="U123" s="42"/>
      <c r="V123" s="42"/>
      <c r="W123" s="42"/>
      <c r="X123" s="42"/>
      <c r="Y123" s="42"/>
      <c r="Z123" s="42"/>
      <c r="AA123" s="127">
        <f t="shared" si="1"/>
        <v>0</v>
      </c>
      <c r="AB123" s="43" t="s">
        <v>206</v>
      </c>
    </row>
    <row r="124" spans="1:28" ht="22.5">
      <c r="A124" s="38">
        <v>35921</v>
      </c>
      <c r="B124" s="39" t="s">
        <v>829</v>
      </c>
      <c r="C124" s="40" t="s">
        <v>117</v>
      </c>
      <c r="D124" s="40" t="s">
        <v>821</v>
      </c>
      <c r="E124" s="48"/>
      <c r="F124" s="48"/>
      <c r="G124" s="48"/>
      <c r="H124" s="48">
        <v>200</v>
      </c>
      <c r="I124" s="48">
        <v>50</v>
      </c>
      <c r="J124" s="48"/>
      <c r="K124" s="49"/>
      <c r="L124" s="49"/>
      <c r="M124" s="49"/>
      <c r="N124" s="49"/>
      <c r="O124" s="49"/>
      <c r="P124" s="49"/>
      <c r="Q124" s="49"/>
      <c r="R124" s="49"/>
      <c r="S124" s="49"/>
      <c r="T124" s="41" t="s">
        <v>218</v>
      </c>
      <c r="U124" s="42">
        <v>3869252.36</v>
      </c>
      <c r="V124" s="42">
        <v>1150000</v>
      </c>
      <c r="W124" s="42"/>
      <c r="X124" s="42"/>
      <c r="Y124" s="42"/>
      <c r="Z124" s="42"/>
      <c r="AA124" s="127">
        <f t="shared" si="1"/>
        <v>5019252.359999999</v>
      </c>
      <c r="AB124" s="43" t="s">
        <v>219</v>
      </c>
    </row>
    <row r="125" spans="1:28" ht="12.75">
      <c r="A125" s="38">
        <v>35921</v>
      </c>
      <c r="B125" s="39" t="s">
        <v>829</v>
      </c>
      <c r="C125" s="40" t="s">
        <v>119</v>
      </c>
      <c r="D125" s="40" t="s">
        <v>821</v>
      </c>
      <c r="E125" s="48"/>
      <c r="F125" s="48"/>
      <c r="G125" s="48"/>
      <c r="H125" s="48">
        <v>335</v>
      </c>
      <c r="I125" s="48">
        <v>65</v>
      </c>
      <c r="J125" s="48"/>
      <c r="K125" s="49"/>
      <c r="L125" s="49"/>
      <c r="M125" s="49"/>
      <c r="N125" s="49"/>
      <c r="O125" s="49"/>
      <c r="P125" s="49"/>
      <c r="Q125" s="49"/>
      <c r="R125" s="49"/>
      <c r="S125" s="49"/>
      <c r="T125" s="41"/>
      <c r="U125" s="42"/>
      <c r="V125" s="42"/>
      <c r="W125" s="42"/>
      <c r="X125" s="42"/>
      <c r="Y125" s="42"/>
      <c r="Z125" s="42"/>
      <c r="AA125" s="127">
        <f t="shared" si="1"/>
        <v>0</v>
      </c>
      <c r="AB125" s="43" t="s">
        <v>220</v>
      </c>
    </row>
    <row r="126" spans="1:28" ht="12.75">
      <c r="A126" s="38">
        <v>35921</v>
      </c>
      <c r="B126" s="39" t="s">
        <v>16</v>
      </c>
      <c r="C126" s="40" t="s">
        <v>290</v>
      </c>
      <c r="D126" s="40" t="s">
        <v>821</v>
      </c>
      <c r="E126" s="48"/>
      <c r="F126" s="48"/>
      <c r="G126" s="48"/>
      <c r="H126" s="48"/>
      <c r="I126" s="48"/>
      <c r="J126" s="48"/>
      <c r="K126" s="49"/>
      <c r="L126" s="49"/>
      <c r="M126" s="49"/>
      <c r="N126" s="49"/>
      <c r="O126" s="49"/>
      <c r="P126" s="49"/>
      <c r="Q126" s="49"/>
      <c r="R126" s="49"/>
      <c r="S126" s="49"/>
      <c r="T126" s="41"/>
      <c r="U126" s="42"/>
      <c r="V126" s="42"/>
      <c r="W126" s="42"/>
      <c r="X126" s="42"/>
      <c r="Y126" s="42"/>
      <c r="Z126" s="42"/>
      <c r="AA126" s="127">
        <f t="shared" si="1"/>
        <v>0</v>
      </c>
      <c r="AB126" s="43" t="s">
        <v>291</v>
      </c>
    </row>
    <row r="127" spans="1:28" ht="22.5">
      <c r="A127" s="38">
        <v>35921</v>
      </c>
      <c r="B127" s="39" t="s">
        <v>16</v>
      </c>
      <c r="C127" s="40" t="s">
        <v>69</v>
      </c>
      <c r="D127" s="40" t="s">
        <v>821</v>
      </c>
      <c r="E127" s="48"/>
      <c r="F127" s="48"/>
      <c r="G127" s="48"/>
      <c r="H127" s="48">
        <v>400</v>
      </c>
      <c r="I127" s="48">
        <v>80</v>
      </c>
      <c r="J127" s="48"/>
      <c r="K127" s="49"/>
      <c r="L127" s="49"/>
      <c r="M127" s="49"/>
      <c r="N127" s="49"/>
      <c r="O127" s="49"/>
      <c r="P127" s="49"/>
      <c r="Q127" s="49"/>
      <c r="R127" s="49"/>
      <c r="S127" s="49"/>
      <c r="T127" s="41"/>
      <c r="U127" s="42">
        <v>10229173</v>
      </c>
      <c r="V127" s="42"/>
      <c r="W127" s="42"/>
      <c r="X127" s="42"/>
      <c r="Y127" s="42"/>
      <c r="Z127" s="42"/>
      <c r="AA127" s="127">
        <f t="shared" si="1"/>
        <v>10229173</v>
      </c>
      <c r="AB127" s="43" t="s">
        <v>292</v>
      </c>
    </row>
    <row r="128" spans="1:28" ht="33">
      <c r="A128" s="38">
        <v>35921</v>
      </c>
      <c r="B128" s="39" t="s">
        <v>899</v>
      </c>
      <c r="C128" s="40" t="s">
        <v>379</v>
      </c>
      <c r="D128" s="40" t="s">
        <v>107</v>
      </c>
      <c r="E128" s="48">
        <v>2</v>
      </c>
      <c r="F128" s="48"/>
      <c r="G128" s="48">
        <v>1</v>
      </c>
      <c r="H128" s="48">
        <v>200</v>
      </c>
      <c r="I128" s="48">
        <v>40</v>
      </c>
      <c r="J128" s="48">
        <v>3</v>
      </c>
      <c r="K128" s="49">
        <v>1</v>
      </c>
      <c r="L128" s="49">
        <v>1</v>
      </c>
      <c r="M128" s="49">
        <v>1</v>
      </c>
      <c r="N128" s="49">
        <v>7</v>
      </c>
      <c r="O128" s="49">
        <v>3</v>
      </c>
      <c r="P128" s="49"/>
      <c r="Q128" s="49"/>
      <c r="R128" s="49"/>
      <c r="S128" s="49"/>
      <c r="T128" s="41" t="s">
        <v>380</v>
      </c>
      <c r="U128" s="42"/>
      <c r="V128" s="42"/>
      <c r="W128" s="42"/>
      <c r="X128" s="42"/>
      <c r="Y128" s="42"/>
      <c r="Z128" s="42">
        <v>5000000</v>
      </c>
      <c r="AA128" s="127">
        <f t="shared" si="1"/>
        <v>5000000</v>
      </c>
      <c r="AB128" s="43" t="s">
        <v>383</v>
      </c>
    </row>
    <row r="129" spans="1:28" ht="12.75">
      <c r="A129" s="38">
        <v>35921</v>
      </c>
      <c r="B129" s="39" t="s">
        <v>899</v>
      </c>
      <c r="C129" s="40" t="s">
        <v>900</v>
      </c>
      <c r="D129" s="40" t="s">
        <v>891</v>
      </c>
      <c r="E129" s="48"/>
      <c r="F129" s="48"/>
      <c r="G129" s="48"/>
      <c r="H129" s="48"/>
      <c r="I129" s="48"/>
      <c r="J129" s="48"/>
      <c r="K129" s="49"/>
      <c r="L129" s="49"/>
      <c r="M129" s="49"/>
      <c r="N129" s="49"/>
      <c r="O129" s="49"/>
      <c r="P129" s="49"/>
      <c r="Q129" s="49"/>
      <c r="R129" s="49"/>
      <c r="S129" s="49"/>
      <c r="T129" s="41"/>
      <c r="U129" s="42"/>
      <c r="V129" s="42"/>
      <c r="W129" s="42"/>
      <c r="X129" s="42"/>
      <c r="Y129" s="42"/>
      <c r="Z129" s="42"/>
      <c r="AA129" s="127">
        <f t="shared" si="1"/>
        <v>0</v>
      </c>
      <c r="AB129" s="43" t="s">
        <v>384</v>
      </c>
    </row>
    <row r="130" spans="1:28" ht="12.75">
      <c r="A130" s="38">
        <v>35921</v>
      </c>
      <c r="B130" s="39" t="s">
        <v>899</v>
      </c>
      <c r="C130" s="40" t="s">
        <v>387</v>
      </c>
      <c r="D130" s="40" t="s">
        <v>891</v>
      </c>
      <c r="E130" s="48"/>
      <c r="F130" s="48"/>
      <c r="G130" s="48"/>
      <c r="H130" s="48"/>
      <c r="I130" s="48"/>
      <c r="J130" s="48"/>
      <c r="K130" s="49"/>
      <c r="L130" s="49">
        <v>1</v>
      </c>
      <c r="M130" s="49"/>
      <c r="N130" s="49"/>
      <c r="O130" s="49"/>
      <c r="P130" s="49"/>
      <c r="Q130" s="49"/>
      <c r="R130" s="49"/>
      <c r="S130" s="49"/>
      <c r="T130" s="41"/>
      <c r="U130" s="42"/>
      <c r="V130" s="42"/>
      <c r="W130" s="42"/>
      <c r="X130" s="42"/>
      <c r="Y130" s="42"/>
      <c r="Z130" s="42"/>
      <c r="AA130" s="127">
        <f t="shared" si="1"/>
        <v>0</v>
      </c>
      <c r="AB130" s="43" t="s">
        <v>294</v>
      </c>
    </row>
    <row r="131" spans="1:28" ht="12.75">
      <c r="A131" s="38">
        <v>35921</v>
      </c>
      <c r="B131" s="39" t="s">
        <v>899</v>
      </c>
      <c r="C131" s="40" t="s">
        <v>44</v>
      </c>
      <c r="D131" s="40" t="s">
        <v>821</v>
      </c>
      <c r="E131" s="48"/>
      <c r="F131" s="48"/>
      <c r="G131" s="48"/>
      <c r="H131" s="48"/>
      <c r="I131" s="48"/>
      <c r="J131" s="48"/>
      <c r="K131" s="49"/>
      <c r="L131" s="49"/>
      <c r="M131" s="49"/>
      <c r="N131" s="49"/>
      <c r="O131" s="49"/>
      <c r="P131" s="49"/>
      <c r="Q131" s="49"/>
      <c r="R131" s="49"/>
      <c r="S131" s="49"/>
      <c r="T131" s="41"/>
      <c r="U131" s="42"/>
      <c r="V131" s="42"/>
      <c r="W131" s="42"/>
      <c r="X131" s="42"/>
      <c r="Y131" s="42"/>
      <c r="Z131" s="42"/>
      <c r="AA131" s="127">
        <f t="shared" si="1"/>
        <v>0</v>
      </c>
      <c r="AB131" s="43" t="s">
        <v>374</v>
      </c>
    </row>
    <row r="132" spans="1:28" ht="22.5">
      <c r="A132" s="38">
        <v>35921</v>
      </c>
      <c r="B132" s="39" t="s">
        <v>899</v>
      </c>
      <c r="C132" s="40" t="s">
        <v>375</v>
      </c>
      <c r="D132" s="40" t="s">
        <v>821</v>
      </c>
      <c r="E132" s="48"/>
      <c r="F132" s="48"/>
      <c r="G132" s="48"/>
      <c r="H132" s="48">
        <v>700</v>
      </c>
      <c r="I132" s="48">
        <v>340</v>
      </c>
      <c r="J132" s="48"/>
      <c r="K132" s="49"/>
      <c r="L132" s="49"/>
      <c r="M132" s="49"/>
      <c r="N132" s="49"/>
      <c r="O132" s="49"/>
      <c r="P132" s="49"/>
      <c r="Q132" s="49"/>
      <c r="R132" s="49"/>
      <c r="S132" s="49"/>
      <c r="T132" s="41"/>
      <c r="U132" s="42"/>
      <c r="V132" s="42"/>
      <c r="W132" s="42"/>
      <c r="X132" s="42"/>
      <c r="Y132" s="42"/>
      <c r="Z132" s="42"/>
      <c r="AA132" s="127">
        <f aca="true" t="shared" si="2" ref="AA132:AA195">+U132+V132+W132+X132+Y132+Z132</f>
        <v>0</v>
      </c>
      <c r="AB132" s="43" t="s">
        <v>376</v>
      </c>
    </row>
    <row r="133" spans="1:28" ht="22.5">
      <c r="A133" s="38">
        <v>35921</v>
      </c>
      <c r="B133" s="39" t="s">
        <v>899</v>
      </c>
      <c r="C133" s="40" t="s">
        <v>377</v>
      </c>
      <c r="D133" s="40" t="s">
        <v>821</v>
      </c>
      <c r="E133" s="48"/>
      <c r="F133" s="48"/>
      <c r="G133" s="48"/>
      <c r="H133" s="48"/>
      <c r="I133" s="48"/>
      <c r="J133" s="48"/>
      <c r="K133" s="49"/>
      <c r="L133" s="49"/>
      <c r="M133" s="49"/>
      <c r="N133" s="49"/>
      <c r="O133" s="49"/>
      <c r="P133" s="49"/>
      <c r="Q133" s="49"/>
      <c r="R133" s="49"/>
      <c r="S133" s="49"/>
      <c r="T133" s="41"/>
      <c r="U133" s="42"/>
      <c r="V133" s="42"/>
      <c r="W133" s="42"/>
      <c r="X133" s="42"/>
      <c r="Y133" s="42"/>
      <c r="Z133" s="42"/>
      <c r="AA133" s="127">
        <f t="shared" si="2"/>
        <v>0</v>
      </c>
      <c r="AB133" s="43" t="s">
        <v>378</v>
      </c>
    </row>
    <row r="134" spans="1:28" ht="22.5">
      <c r="A134" s="38">
        <v>35921</v>
      </c>
      <c r="B134" s="39" t="s">
        <v>899</v>
      </c>
      <c r="C134" s="40" t="s">
        <v>385</v>
      </c>
      <c r="D134" s="40" t="s">
        <v>821</v>
      </c>
      <c r="E134" s="48"/>
      <c r="F134" s="48"/>
      <c r="G134" s="48"/>
      <c r="H134" s="48"/>
      <c r="I134" s="48"/>
      <c r="J134" s="48"/>
      <c r="K134" s="49"/>
      <c r="L134" s="49"/>
      <c r="M134" s="49"/>
      <c r="N134" s="49"/>
      <c r="O134" s="49"/>
      <c r="P134" s="49"/>
      <c r="Q134" s="49"/>
      <c r="R134" s="49"/>
      <c r="S134" s="49"/>
      <c r="T134" s="41"/>
      <c r="U134" s="42"/>
      <c r="V134" s="42"/>
      <c r="W134" s="42"/>
      <c r="X134" s="42"/>
      <c r="Y134" s="42"/>
      <c r="Z134" s="42"/>
      <c r="AA134" s="127">
        <f t="shared" si="2"/>
        <v>0</v>
      </c>
      <c r="AB134" s="43" t="s">
        <v>386</v>
      </c>
    </row>
    <row r="135" spans="1:28" ht="12.75">
      <c r="A135" s="38">
        <v>35921</v>
      </c>
      <c r="B135" s="39" t="s">
        <v>899</v>
      </c>
      <c r="C135" s="40" t="s">
        <v>388</v>
      </c>
      <c r="D135" s="40" t="s">
        <v>821</v>
      </c>
      <c r="E135" s="48"/>
      <c r="F135" s="48"/>
      <c r="G135" s="48"/>
      <c r="H135" s="48"/>
      <c r="I135" s="48"/>
      <c r="J135" s="48"/>
      <c r="K135" s="49"/>
      <c r="L135" s="49"/>
      <c r="M135" s="49"/>
      <c r="N135" s="49"/>
      <c r="O135" s="49"/>
      <c r="P135" s="49"/>
      <c r="Q135" s="49"/>
      <c r="R135" s="49"/>
      <c r="S135" s="49"/>
      <c r="T135" s="41"/>
      <c r="U135" s="42"/>
      <c r="V135" s="42"/>
      <c r="W135" s="42"/>
      <c r="X135" s="42"/>
      <c r="Y135" s="42"/>
      <c r="Z135" s="42"/>
      <c r="AA135" s="127">
        <f t="shared" si="2"/>
        <v>0</v>
      </c>
      <c r="AB135" s="43" t="s">
        <v>294</v>
      </c>
    </row>
    <row r="136" spans="1:28" ht="12.75">
      <c r="A136" s="38">
        <v>35921</v>
      </c>
      <c r="B136" s="39" t="s">
        <v>899</v>
      </c>
      <c r="C136" s="40" t="s">
        <v>389</v>
      </c>
      <c r="D136" s="40" t="s">
        <v>821</v>
      </c>
      <c r="E136" s="48"/>
      <c r="F136" s="48"/>
      <c r="G136" s="48"/>
      <c r="H136" s="48"/>
      <c r="I136" s="48"/>
      <c r="J136" s="48"/>
      <c r="K136" s="49"/>
      <c r="L136" s="49"/>
      <c r="M136" s="49"/>
      <c r="N136" s="49"/>
      <c r="O136" s="49"/>
      <c r="P136" s="49"/>
      <c r="Q136" s="49"/>
      <c r="R136" s="49"/>
      <c r="S136" s="49"/>
      <c r="T136" s="41"/>
      <c r="U136" s="42"/>
      <c r="V136" s="42"/>
      <c r="W136" s="42"/>
      <c r="X136" s="42"/>
      <c r="Y136" s="42"/>
      <c r="Z136" s="42"/>
      <c r="AA136" s="127">
        <f t="shared" si="2"/>
        <v>0</v>
      </c>
      <c r="AB136" s="43" t="s">
        <v>294</v>
      </c>
    </row>
    <row r="137" spans="1:28" ht="12.75">
      <c r="A137" s="38">
        <v>35921</v>
      </c>
      <c r="B137" s="39" t="s">
        <v>899</v>
      </c>
      <c r="C137" s="40" t="s">
        <v>390</v>
      </c>
      <c r="D137" s="40" t="s">
        <v>821</v>
      </c>
      <c r="E137" s="48"/>
      <c r="F137" s="48"/>
      <c r="G137" s="48"/>
      <c r="H137" s="48"/>
      <c r="I137" s="48"/>
      <c r="J137" s="48"/>
      <c r="K137" s="49"/>
      <c r="L137" s="49"/>
      <c r="M137" s="49"/>
      <c r="N137" s="49"/>
      <c r="O137" s="49"/>
      <c r="P137" s="49"/>
      <c r="Q137" s="49"/>
      <c r="R137" s="49"/>
      <c r="S137" s="49"/>
      <c r="T137" s="41"/>
      <c r="U137" s="42"/>
      <c r="V137" s="42"/>
      <c r="W137" s="42"/>
      <c r="X137" s="42"/>
      <c r="Y137" s="42"/>
      <c r="Z137" s="42"/>
      <c r="AA137" s="127">
        <f t="shared" si="2"/>
        <v>0</v>
      </c>
      <c r="AB137" s="43" t="s">
        <v>294</v>
      </c>
    </row>
    <row r="138" spans="1:28" ht="12.75">
      <c r="A138" s="38">
        <v>35921</v>
      </c>
      <c r="B138" s="39" t="s">
        <v>899</v>
      </c>
      <c r="C138" s="40" t="s">
        <v>391</v>
      </c>
      <c r="D138" s="40" t="s">
        <v>821</v>
      </c>
      <c r="E138" s="48"/>
      <c r="F138" s="48"/>
      <c r="G138" s="48"/>
      <c r="H138" s="48"/>
      <c r="I138" s="48"/>
      <c r="J138" s="48"/>
      <c r="K138" s="49"/>
      <c r="L138" s="49"/>
      <c r="M138" s="49"/>
      <c r="N138" s="49"/>
      <c r="O138" s="49"/>
      <c r="P138" s="49"/>
      <c r="Q138" s="49"/>
      <c r="R138" s="49"/>
      <c r="S138" s="49"/>
      <c r="T138" s="41"/>
      <c r="U138" s="42"/>
      <c r="V138" s="42"/>
      <c r="W138" s="42"/>
      <c r="X138" s="42"/>
      <c r="Y138" s="42"/>
      <c r="Z138" s="42"/>
      <c r="AA138" s="127">
        <f t="shared" si="2"/>
        <v>0</v>
      </c>
      <c r="AB138" s="43" t="s">
        <v>294</v>
      </c>
    </row>
    <row r="139" spans="1:29" ht="12.75">
      <c r="A139" s="38">
        <v>35921</v>
      </c>
      <c r="B139" s="39" t="s">
        <v>899</v>
      </c>
      <c r="C139" s="40" t="s">
        <v>392</v>
      </c>
      <c r="D139" s="40" t="s">
        <v>821</v>
      </c>
      <c r="E139" s="48"/>
      <c r="F139" s="48"/>
      <c r="G139" s="48"/>
      <c r="H139" s="48"/>
      <c r="I139" s="48"/>
      <c r="J139" s="48"/>
      <c r="K139" s="49"/>
      <c r="L139" s="49"/>
      <c r="M139" s="49"/>
      <c r="N139" s="49"/>
      <c r="O139" s="49"/>
      <c r="P139" s="49"/>
      <c r="Q139" s="49"/>
      <c r="R139" s="49"/>
      <c r="S139" s="49"/>
      <c r="T139" s="41"/>
      <c r="U139" s="42"/>
      <c r="V139" s="42"/>
      <c r="W139" s="42"/>
      <c r="X139" s="42"/>
      <c r="Y139" s="42"/>
      <c r="Z139" s="42"/>
      <c r="AA139" s="127">
        <f t="shared" si="2"/>
        <v>0</v>
      </c>
      <c r="AB139" s="43" t="s">
        <v>294</v>
      </c>
      <c r="AC139" s="4" t="s">
        <v>594</v>
      </c>
    </row>
    <row r="140" spans="1:29" ht="12.75">
      <c r="A140" s="38">
        <v>35921</v>
      </c>
      <c r="B140" s="39" t="s">
        <v>899</v>
      </c>
      <c r="C140" s="40" t="s">
        <v>496</v>
      </c>
      <c r="D140" s="40" t="s">
        <v>821</v>
      </c>
      <c r="E140" s="48"/>
      <c r="F140" s="48"/>
      <c r="G140" s="48"/>
      <c r="H140" s="48"/>
      <c r="I140" s="48"/>
      <c r="J140" s="48"/>
      <c r="K140" s="49"/>
      <c r="L140" s="49"/>
      <c r="M140" s="49"/>
      <c r="N140" s="49"/>
      <c r="O140" s="49"/>
      <c r="P140" s="49"/>
      <c r="Q140" s="49"/>
      <c r="R140" s="49"/>
      <c r="S140" s="49"/>
      <c r="T140" s="41"/>
      <c r="U140" s="42"/>
      <c r="V140" s="42"/>
      <c r="W140" s="42"/>
      <c r="X140" s="42"/>
      <c r="Y140" s="42"/>
      <c r="Z140" s="42"/>
      <c r="AA140" s="127">
        <f t="shared" si="2"/>
        <v>0</v>
      </c>
      <c r="AB140" s="43" t="s">
        <v>294</v>
      </c>
      <c r="AC140" s="4" t="s">
        <v>594</v>
      </c>
    </row>
    <row r="141" spans="1:28" ht="33">
      <c r="A141" s="38">
        <v>35921</v>
      </c>
      <c r="B141" s="39" t="s">
        <v>899</v>
      </c>
      <c r="C141" s="40" t="s">
        <v>875</v>
      </c>
      <c r="D141" s="40" t="s">
        <v>821</v>
      </c>
      <c r="E141" s="48"/>
      <c r="F141" s="48"/>
      <c r="G141" s="48"/>
      <c r="H141" s="48"/>
      <c r="I141" s="48"/>
      <c r="J141" s="48"/>
      <c r="K141" s="49"/>
      <c r="L141" s="49"/>
      <c r="M141" s="49"/>
      <c r="N141" s="49"/>
      <c r="O141" s="49"/>
      <c r="P141" s="49"/>
      <c r="Q141" s="49"/>
      <c r="R141" s="49"/>
      <c r="S141" s="49"/>
      <c r="T141" s="41"/>
      <c r="U141" s="42">
        <v>47181080</v>
      </c>
      <c r="V141" s="42">
        <v>34500000</v>
      </c>
      <c r="W141" s="42">
        <v>13771520</v>
      </c>
      <c r="X141" s="42"/>
      <c r="Y141" s="42"/>
      <c r="Z141" s="42"/>
      <c r="AA141" s="127">
        <f t="shared" si="2"/>
        <v>95452600</v>
      </c>
      <c r="AB141" s="43" t="s">
        <v>393</v>
      </c>
    </row>
    <row r="142" spans="1:28" ht="12.75">
      <c r="A142" s="38">
        <v>35922</v>
      </c>
      <c r="B142" s="39" t="s">
        <v>820</v>
      </c>
      <c r="C142" s="40" t="s">
        <v>178</v>
      </c>
      <c r="D142" s="40" t="s">
        <v>821</v>
      </c>
      <c r="E142" s="48"/>
      <c r="F142" s="48"/>
      <c r="G142" s="48"/>
      <c r="H142" s="48"/>
      <c r="I142" s="48"/>
      <c r="J142" s="48"/>
      <c r="K142" s="49"/>
      <c r="L142" s="49"/>
      <c r="M142" s="49"/>
      <c r="N142" s="49"/>
      <c r="O142" s="49"/>
      <c r="P142" s="49"/>
      <c r="Q142" s="49"/>
      <c r="R142" s="49"/>
      <c r="S142" s="49"/>
      <c r="T142" s="41"/>
      <c r="U142" s="42"/>
      <c r="V142" s="42"/>
      <c r="W142" s="42"/>
      <c r="X142" s="42"/>
      <c r="Y142" s="42"/>
      <c r="Z142" s="42"/>
      <c r="AA142" s="127">
        <f t="shared" si="2"/>
        <v>0</v>
      </c>
      <c r="AB142" s="43"/>
    </row>
    <row r="143" spans="1:28" ht="12.75">
      <c r="A143" s="38">
        <v>35922</v>
      </c>
      <c r="B143" s="39" t="s">
        <v>820</v>
      </c>
      <c r="C143" s="40" t="s">
        <v>179</v>
      </c>
      <c r="D143" s="40" t="s">
        <v>821</v>
      </c>
      <c r="E143" s="48"/>
      <c r="F143" s="48"/>
      <c r="G143" s="48"/>
      <c r="H143" s="48"/>
      <c r="I143" s="48"/>
      <c r="J143" s="48"/>
      <c r="K143" s="49"/>
      <c r="L143" s="49"/>
      <c r="M143" s="49"/>
      <c r="N143" s="49"/>
      <c r="O143" s="49"/>
      <c r="P143" s="49"/>
      <c r="Q143" s="49"/>
      <c r="R143" s="49"/>
      <c r="S143" s="49"/>
      <c r="T143" s="41"/>
      <c r="U143" s="42"/>
      <c r="V143" s="42"/>
      <c r="W143" s="42"/>
      <c r="X143" s="42"/>
      <c r="Y143" s="42"/>
      <c r="Z143" s="42"/>
      <c r="AA143" s="127">
        <f t="shared" si="2"/>
        <v>0</v>
      </c>
      <c r="AB143" s="43"/>
    </row>
    <row r="144" spans="1:28" ht="12.75">
      <c r="A144" s="38">
        <v>35922</v>
      </c>
      <c r="B144" s="39" t="s">
        <v>59</v>
      </c>
      <c r="C144" s="40" t="s">
        <v>211</v>
      </c>
      <c r="D144" s="40" t="s">
        <v>821</v>
      </c>
      <c r="E144" s="48"/>
      <c r="F144" s="48"/>
      <c r="G144" s="48"/>
      <c r="H144" s="48"/>
      <c r="I144" s="48"/>
      <c r="J144" s="48"/>
      <c r="K144" s="49"/>
      <c r="L144" s="49"/>
      <c r="M144" s="49"/>
      <c r="N144" s="49"/>
      <c r="O144" s="49"/>
      <c r="P144" s="49"/>
      <c r="Q144" s="49"/>
      <c r="R144" s="49"/>
      <c r="S144" s="49"/>
      <c r="T144" s="41"/>
      <c r="U144" s="42"/>
      <c r="V144" s="42"/>
      <c r="W144" s="42"/>
      <c r="X144" s="42"/>
      <c r="Y144" s="42"/>
      <c r="Z144" s="42"/>
      <c r="AA144" s="127">
        <f t="shared" si="2"/>
        <v>0</v>
      </c>
      <c r="AB144" s="43" t="s">
        <v>212</v>
      </c>
    </row>
    <row r="145" spans="1:28" ht="12.75">
      <c r="A145" s="38">
        <v>35922</v>
      </c>
      <c r="B145" s="39" t="s">
        <v>59</v>
      </c>
      <c r="C145" s="40" t="s">
        <v>213</v>
      </c>
      <c r="D145" s="40" t="s">
        <v>821</v>
      </c>
      <c r="E145" s="48"/>
      <c r="F145" s="48"/>
      <c r="G145" s="48"/>
      <c r="H145" s="48"/>
      <c r="I145" s="48"/>
      <c r="J145" s="48"/>
      <c r="K145" s="49"/>
      <c r="L145" s="49"/>
      <c r="M145" s="49"/>
      <c r="N145" s="49"/>
      <c r="O145" s="49"/>
      <c r="P145" s="49"/>
      <c r="Q145" s="49"/>
      <c r="R145" s="49"/>
      <c r="S145" s="49"/>
      <c r="T145" s="41"/>
      <c r="U145" s="42"/>
      <c r="V145" s="42"/>
      <c r="W145" s="42"/>
      <c r="X145" s="42"/>
      <c r="Y145" s="42"/>
      <c r="Z145" s="42"/>
      <c r="AA145" s="127">
        <f t="shared" si="2"/>
        <v>0</v>
      </c>
      <c r="AB145" s="43" t="s">
        <v>212</v>
      </c>
    </row>
    <row r="146" spans="1:28" ht="12.75">
      <c r="A146" s="38">
        <v>35922</v>
      </c>
      <c r="B146" s="39" t="s">
        <v>59</v>
      </c>
      <c r="C146" s="40" t="s">
        <v>214</v>
      </c>
      <c r="D146" s="40" t="s">
        <v>821</v>
      </c>
      <c r="E146" s="48"/>
      <c r="F146" s="48"/>
      <c r="G146" s="48"/>
      <c r="H146" s="48"/>
      <c r="I146" s="48"/>
      <c r="J146" s="48"/>
      <c r="K146" s="49"/>
      <c r="L146" s="49"/>
      <c r="M146" s="49"/>
      <c r="N146" s="49"/>
      <c r="O146" s="49"/>
      <c r="P146" s="49"/>
      <c r="Q146" s="49"/>
      <c r="R146" s="49"/>
      <c r="S146" s="49"/>
      <c r="T146" s="41"/>
      <c r="U146" s="42"/>
      <c r="V146" s="42"/>
      <c r="W146" s="42"/>
      <c r="X146" s="42"/>
      <c r="Y146" s="42"/>
      <c r="Z146" s="42"/>
      <c r="AA146" s="127">
        <f t="shared" si="2"/>
        <v>0</v>
      </c>
      <c r="AB146" s="43" t="s">
        <v>212</v>
      </c>
    </row>
    <row r="147" spans="1:28" ht="24.75">
      <c r="A147" s="38">
        <v>35922</v>
      </c>
      <c r="B147" s="39" t="s">
        <v>59</v>
      </c>
      <c r="C147" s="40" t="s">
        <v>215</v>
      </c>
      <c r="D147" s="40" t="s">
        <v>821</v>
      </c>
      <c r="E147" s="48"/>
      <c r="F147" s="48"/>
      <c r="G147" s="48"/>
      <c r="H147" s="48">
        <v>1440</v>
      </c>
      <c r="I147" s="48">
        <v>288</v>
      </c>
      <c r="J147" s="48"/>
      <c r="K147" s="49"/>
      <c r="L147" s="49"/>
      <c r="M147" s="49"/>
      <c r="N147" s="49"/>
      <c r="O147" s="49"/>
      <c r="P147" s="49"/>
      <c r="Q147" s="49"/>
      <c r="R147" s="49"/>
      <c r="S147" s="49"/>
      <c r="T147" s="41" t="s">
        <v>216</v>
      </c>
      <c r="U147" s="42">
        <v>1862141.32</v>
      </c>
      <c r="V147" s="42">
        <v>6624000</v>
      </c>
      <c r="W147" s="42"/>
      <c r="X147" s="42">
        <v>484880</v>
      </c>
      <c r="Y147" s="42"/>
      <c r="Z147" s="42"/>
      <c r="AA147" s="127">
        <f t="shared" si="2"/>
        <v>8971021.32</v>
      </c>
      <c r="AB147" s="43" t="s">
        <v>217</v>
      </c>
    </row>
    <row r="148" spans="1:28" ht="16.5">
      <c r="A148" s="38">
        <v>35922</v>
      </c>
      <c r="B148" s="39" t="s">
        <v>829</v>
      </c>
      <c r="C148" s="40" t="s">
        <v>109</v>
      </c>
      <c r="D148" s="40" t="s">
        <v>821</v>
      </c>
      <c r="E148" s="48"/>
      <c r="F148" s="48"/>
      <c r="G148" s="48"/>
      <c r="H148" s="48"/>
      <c r="I148" s="48"/>
      <c r="J148" s="48"/>
      <c r="K148" s="49"/>
      <c r="L148" s="49"/>
      <c r="M148" s="49"/>
      <c r="N148" s="49"/>
      <c r="O148" s="49"/>
      <c r="P148" s="49"/>
      <c r="Q148" s="49"/>
      <c r="R148" s="49"/>
      <c r="S148" s="49"/>
      <c r="T148" s="41"/>
      <c r="U148" s="42"/>
      <c r="V148" s="42"/>
      <c r="W148" s="42"/>
      <c r="X148" s="42"/>
      <c r="Y148" s="42"/>
      <c r="Z148" s="42"/>
      <c r="AA148" s="127">
        <f t="shared" si="2"/>
        <v>0</v>
      </c>
      <c r="AB148" s="43" t="s">
        <v>221</v>
      </c>
    </row>
    <row r="149" spans="1:28" ht="12.75">
      <c r="A149" s="38">
        <v>35922</v>
      </c>
      <c r="B149" s="39" t="s">
        <v>195</v>
      </c>
      <c r="C149" s="40" t="s">
        <v>240</v>
      </c>
      <c r="D149" s="40" t="s">
        <v>891</v>
      </c>
      <c r="E149" s="48"/>
      <c r="F149" s="48"/>
      <c r="G149" s="48"/>
      <c r="H149" s="48">
        <v>48</v>
      </c>
      <c r="I149" s="48">
        <v>11</v>
      </c>
      <c r="J149" s="48"/>
      <c r="K149" s="49"/>
      <c r="L149" s="49"/>
      <c r="M149" s="49"/>
      <c r="N149" s="49"/>
      <c r="O149" s="49"/>
      <c r="P149" s="49"/>
      <c r="Q149" s="49"/>
      <c r="R149" s="49"/>
      <c r="S149" s="49"/>
      <c r="T149" s="41"/>
      <c r="U149" s="42"/>
      <c r="V149" s="42"/>
      <c r="W149" s="42"/>
      <c r="X149" s="42"/>
      <c r="Y149" s="42"/>
      <c r="Z149" s="42"/>
      <c r="AA149" s="127">
        <f t="shared" si="2"/>
        <v>0</v>
      </c>
      <c r="AB149" s="43" t="s">
        <v>241</v>
      </c>
    </row>
    <row r="150" spans="1:28" ht="12.75">
      <c r="A150" s="38">
        <v>35922</v>
      </c>
      <c r="B150" s="39" t="s">
        <v>195</v>
      </c>
      <c r="C150" s="40" t="s">
        <v>78</v>
      </c>
      <c r="D150" s="40" t="s">
        <v>891</v>
      </c>
      <c r="E150" s="48"/>
      <c r="F150" s="48"/>
      <c r="G150" s="48"/>
      <c r="H150" s="48">
        <v>20</v>
      </c>
      <c r="I150" s="48">
        <v>4</v>
      </c>
      <c r="J150" s="48"/>
      <c r="K150" s="49"/>
      <c r="L150" s="49"/>
      <c r="M150" s="49"/>
      <c r="N150" s="49"/>
      <c r="O150" s="49"/>
      <c r="P150" s="49"/>
      <c r="Q150" s="49"/>
      <c r="R150" s="49"/>
      <c r="S150" s="49"/>
      <c r="T150" s="41"/>
      <c r="U150" s="42"/>
      <c r="V150" s="42"/>
      <c r="W150" s="42"/>
      <c r="X150" s="42"/>
      <c r="Y150" s="42"/>
      <c r="Z150" s="42"/>
      <c r="AA150" s="127">
        <f t="shared" si="2"/>
        <v>0</v>
      </c>
      <c r="AB150" s="43"/>
    </row>
    <row r="151" spans="1:28" ht="12.75">
      <c r="A151" s="38">
        <v>35922</v>
      </c>
      <c r="B151" s="39" t="s">
        <v>195</v>
      </c>
      <c r="C151" s="40" t="s">
        <v>242</v>
      </c>
      <c r="D151" s="40" t="s">
        <v>891</v>
      </c>
      <c r="E151" s="48"/>
      <c r="F151" s="48"/>
      <c r="G151" s="48"/>
      <c r="H151" s="48">
        <v>40</v>
      </c>
      <c r="I151" s="48">
        <v>9</v>
      </c>
      <c r="J151" s="48"/>
      <c r="K151" s="49"/>
      <c r="L151" s="49"/>
      <c r="M151" s="49"/>
      <c r="N151" s="49"/>
      <c r="O151" s="49"/>
      <c r="P151" s="49"/>
      <c r="Q151" s="49"/>
      <c r="R151" s="49"/>
      <c r="S151" s="49"/>
      <c r="T151" s="41"/>
      <c r="U151" s="42"/>
      <c r="V151" s="42"/>
      <c r="W151" s="42"/>
      <c r="X151" s="42"/>
      <c r="Y151" s="42"/>
      <c r="Z151" s="42"/>
      <c r="AA151" s="127">
        <f t="shared" si="2"/>
        <v>0</v>
      </c>
      <c r="AB151" s="43" t="s">
        <v>243</v>
      </c>
    </row>
    <row r="152" spans="1:28" ht="12.75">
      <c r="A152" s="38">
        <v>35922</v>
      </c>
      <c r="B152" s="39" t="s">
        <v>195</v>
      </c>
      <c r="C152" s="40" t="s">
        <v>244</v>
      </c>
      <c r="D152" s="40" t="s">
        <v>821</v>
      </c>
      <c r="E152" s="48"/>
      <c r="F152" s="48"/>
      <c r="G152" s="48"/>
      <c r="H152" s="48">
        <v>60</v>
      </c>
      <c r="I152" s="48">
        <v>12</v>
      </c>
      <c r="J152" s="48"/>
      <c r="K152" s="49"/>
      <c r="L152" s="49"/>
      <c r="M152" s="49"/>
      <c r="N152" s="49"/>
      <c r="O152" s="49"/>
      <c r="P152" s="49"/>
      <c r="Q152" s="49"/>
      <c r="R152" s="49"/>
      <c r="S152" s="49"/>
      <c r="T152" s="41"/>
      <c r="U152" s="42"/>
      <c r="V152" s="42"/>
      <c r="W152" s="42"/>
      <c r="X152" s="42"/>
      <c r="Y152" s="42"/>
      <c r="Z152" s="42"/>
      <c r="AA152" s="127">
        <f t="shared" si="2"/>
        <v>0</v>
      </c>
      <c r="AB152" s="43"/>
    </row>
    <row r="153" spans="1:28" ht="22.5">
      <c r="A153" s="38">
        <v>35922</v>
      </c>
      <c r="B153" s="39" t="s">
        <v>129</v>
      </c>
      <c r="C153" s="40" t="s">
        <v>456</v>
      </c>
      <c r="D153" s="40" t="s">
        <v>891</v>
      </c>
      <c r="E153" s="48"/>
      <c r="F153" s="48"/>
      <c r="G153" s="48"/>
      <c r="H153" s="48"/>
      <c r="I153" s="48"/>
      <c r="J153" s="48"/>
      <c r="K153" s="49"/>
      <c r="L153" s="49"/>
      <c r="M153" s="49"/>
      <c r="N153" s="49"/>
      <c r="O153" s="49"/>
      <c r="P153" s="49"/>
      <c r="Q153" s="49"/>
      <c r="R153" s="49"/>
      <c r="S153" s="49"/>
      <c r="T153" s="41"/>
      <c r="U153" s="42"/>
      <c r="V153" s="42"/>
      <c r="W153" s="42"/>
      <c r="X153" s="42"/>
      <c r="Y153" s="42"/>
      <c r="Z153" s="42"/>
      <c r="AA153" s="127">
        <f t="shared" si="2"/>
        <v>0</v>
      </c>
      <c r="AB153" s="43" t="s">
        <v>265</v>
      </c>
    </row>
    <row r="154" spans="1:28" ht="12.75">
      <c r="A154" s="38">
        <v>35922</v>
      </c>
      <c r="B154" s="39" t="s">
        <v>129</v>
      </c>
      <c r="C154" s="40" t="s">
        <v>59</v>
      </c>
      <c r="D154" s="40" t="s">
        <v>891</v>
      </c>
      <c r="E154" s="48"/>
      <c r="F154" s="48"/>
      <c r="G154" s="48"/>
      <c r="H154" s="48"/>
      <c r="I154" s="48"/>
      <c r="J154" s="48"/>
      <c r="K154" s="49"/>
      <c r="L154" s="49"/>
      <c r="M154" s="49"/>
      <c r="N154" s="49"/>
      <c r="O154" s="49"/>
      <c r="P154" s="49"/>
      <c r="Q154" s="49"/>
      <c r="R154" s="49"/>
      <c r="S154" s="49"/>
      <c r="T154" s="41"/>
      <c r="U154" s="42"/>
      <c r="V154" s="42"/>
      <c r="W154" s="42"/>
      <c r="X154" s="42"/>
      <c r="Y154" s="42"/>
      <c r="Z154" s="42"/>
      <c r="AA154" s="127">
        <f t="shared" si="2"/>
        <v>0</v>
      </c>
      <c r="AB154" s="43" t="s">
        <v>266</v>
      </c>
    </row>
    <row r="155" spans="1:28" ht="24.75">
      <c r="A155" s="38">
        <v>35922</v>
      </c>
      <c r="B155" s="39" t="s">
        <v>129</v>
      </c>
      <c r="C155" s="40" t="s">
        <v>257</v>
      </c>
      <c r="D155" s="40" t="s">
        <v>821</v>
      </c>
      <c r="E155" s="48"/>
      <c r="F155" s="48"/>
      <c r="G155" s="48"/>
      <c r="H155" s="48">
        <v>250</v>
      </c>
      <c r="I155" s="48">
        <v>50</v>
      </c>
      <c r="J155" s="48"/>
      <c r="K155" s="49"/>
      <c r="L155" s="49"/>
      <c r="M155" s="49"/>
      <c r="N155" s="49"/>
      <c r="O155" s="49">
        <v>1</v>
      </c>
      <c r="P155" s="49"/>
      <c r="Q155" s="49"/>
      <c r="R155" s="49"/>
      <c r="S155" s="49"/>
      <c r="T155" s="41" t="s">
        <v>94</v>
      </c>
      <c r="U155" s="42"/>
      <c r="V155" s="42"/>
      <c r="W155" s="42"/>
      <c r="X155" s="42"/>
      <c r="Y155" s="42"/>
      <c r="Z155" s="42"/>
      <c r="AA155" s="127">
        <f t="shared" si="2"/>
        <v>0</v>
      </c>
      <c r="AB155" s="43" t="s">
        <v>258</v>
      </c>
    </row>
    <row r="156" spans="1:28" ht="12.75">
      <c r="A156" s="38">
        <v>35922</v>
      </c>
      <c r="B156" s="39" t="s">
        <v>129</v>
      </c>
      <c r="C156" s="40" t="s">
        <v>259</v>
      </c>
      <c r="D156" s="40" t="s">
        <v>821</v>
      </c>
      <c r="E156" s="48"/>
      <c r="F156" s="48"/>
      <c r="G156" s="48"/>
      <c r="H156" s="48">
        <v>12</v>
      </c>
      <c r="I156" s="48">
        <v>4</v>
      </c>
      <c r="J156" s="48"/>
      <c r="K156" s="49"/>
      <c r="L156" s="49"/>
      <c r="M156" s="49"/>
      <c r="N156" s="49"/>
      <c r="O156" s="49"/>
      <c r="P156" s="49"/>
      <c r="Q156" s="49"/>
      <c r="R156" s="49"/>
      <c r="S156" s="49"/>
      <c r="T156" s="41"/>
      <c r="U156" s="42"/>
      <c r="V156" s="42"/>
      <c r="W156" s="42"/>
      <c r="X156" s="42"/>
      <c r="Y156" s="42"/>
      <c r="Z156" s="42"/>
      <c r="AA156" s="127">
        <f t="shared" si="2"/>
        <v>0</v>
      </c>
      <c r="AB156" s="43" t="s">
        <v>260</v>
      </c>
    </row>
    <row r="157" spans="1:28" ht="12.75">
      <c r="A157" s="38">
        <v>35922</v>
      </c>
      <c r="B157" s="39" t="s">
        <v>13</v>
      </c>
      <c r="C157" s="40" t="s">
        <v>135</v>
      </c>
      <c r="D157" s="40" t="s">
        <v>821</v>
      </c>
      <c r="E157" s="48"/>
      <c r="F157" s="48"/>
      <c r="G157" s="48"/>
      <c r="H157" s="48">
        <v>750</v>
      </c>
      <c r="I157" s="48">
        <v>150</v>
      </c>
      <c r="J157" s="48"/>
      <c r="K157" s="49"/>
      <c r="L157" s="49"/>
      <c r="M157" s="49"/>
      <c r="N157" s="49"/>
      <c r="O157" s="49"/>
      <c r="P157" s="49"/>
      <c r="Q157" s="49"/>
      <c r="R157" s="49"/>
      <c r="S157" s="49"/>
      <c r="T157" s="41"/>
      <c r="U157" s="42">
        <v>4065300</v>
      </c>
      <c r="V157" s="42">
        <v>2300000</v>
      </c>
      <c r="W157" s="42"/>
      <c r="X157" s="42"/>
      <c r="Y157" s="42"/>
      <c r="Z157" s="42"/>
      <c r="AA157" s="127">
        <f t="shared" si="2"/>
        <v>6365300</v>
      </c>
      <c r="AB157" s="43" t="s">
        <v>267</v>
      </c>
    </row>
    <row r="158" spans="1:28" ht="12.75">
      <c r="A158" s="38">
        <v>35922</v>
      </c>
      <c r="B158" s="39" t="s">
        <v>13</v>
      </c>
      <c r="C158" s="40" t="s">
        <v>268</v>
      </c>
      <c r="D158" s="40" t="s">
        <v>821</v>
      </c>
      <c r="E158" s="48"/>
      <c r="F158" s="48"/>
      <c r="G158" s="48"/>
      <c r="H158" s="48">
        <v>375</v>
      </c>
      <c r="I158" s="48">
        <v>75</v>
      </c>
      <c r="J158" s="48"/>
      <c r="K158" s="49"/>
      <c r="L158" s="49"/>
      <c r="M158" s="49"/>
      <c r="N158" s="49"/>
      <c r="O158" s="49"/>
      <c r="P158" s="49"/>
      <c r="Q158" s="49"/>
      <c r="R158" s="49"/>
      <c r="S158" s="49"/>
      <c r="T158" s="41"/>
      <c r="U158" s="42"/>
      <c r="V158" s="42"/>
      <c r="W158" s="42"/>
      <c r="X158" s="42"/>
      <c r="Y158" s="42"/>
      <c r="Z158" s="42"/>
      <c r="AA158" s="127">
        <f t="shared" si="2"/>
        <v>0</v>
      </c>
      <c r="AB158" s="43" t="s">
        <v>269</v>
      </c>
    </row>
    <row r="159" spans="1:28" ht="12.75">
      <c r="A159" s="38">
        <v>35922</v>
      </c>
      <c r="B159" s="39" t="s">
        <v>22</v>
      </c>
      <c r="C159" s="40" t="s">
        <v>29</v>
      </c>
      <c r="D159" s="40" t="s">
        <v>821</v>
      </c>
      <c r="E159" s="48"/>
      <c r="F159" s="48"/>
      <c r="G159" s="48"/>
      <c r="H159" s="48"/>
      <c r="I159" s="48"/>
      <c r="J159" s="48"/>
      <c r="K159" s="49"/>
      <c r="L159" s="49"/>
      <c r="M159" s="49"/>
      <c r="N159" s="49"/>
      <c r="O159" s="49"/>
      <c r="P159" s="49"/>
      <c r="Q159" s="49"/>
      <c r="R159" s="49"/>
      <c r="S159" s="49"/>
      <c r="T159" s="41"/>
      <c r="U159" s="42"/>
      <c r="V159" s="42"/>
      <c r="W159" s="42"/>
      <c r="X159" s="42"/>
      <c r="Y159" s="42"/>
      <c r="Z159" s="42"/>
      <c r="AA159" s="127">
        <f t="shared" si="2"/>
        <v>0</v>
      </c>
      <c r="AB159" s="43" t="s">
        <v>294</v>
      </c>
    </row>
    <row r="160" spans="1:28" ht="12.75">
      <c r="A160" s="38">
        <v>35922</v>
      </c>
      <c r="B160" s="39" t="s">
        <v>22</v>
      </c>
      <c r="C160" s="40" t="s">
        <v>23</v>
      </c>
      <c r="D160" s="40" t="s">
        <v>821</v>
      </c>
      <c r="E160" s="48"/>
      <c r="F160" s="48"/>
      <c r="G160" s="48"/>
      <c r="H160" s="48"/>
      <c r="I160" s="48"/>
      <c r="J160" s="48"/>
      <c r="K160" s="49"/>
      <c r="L160" s="49"/>
      <c r="M160" s="49"/>
      <c r="N160" s="49"/>
      <c r="O160" s="49"/>
      <c r="P160" s="49"/>
      <c r="Q160" s="49"/>
      <c r="R160" s="49"/>
      <c r="S160" s="49"/>
      <c r="T160" s="41"/>
      <c r="U160" s="42"/>
      <c r="V160" s="42"/>
      <c r="W160" s="42"/>
      <c r="X160" s="42"/>
      <c r="Y160" s="42"/>
      <c r="Z160" s="42"/>
      <c r="AA160" s="127">
        <f t="shared" si="2"/>
        <v>0</v>
      </c>
      <c r="AB160" s="43" t="s">
        <v>294</v>
      </c>
    </row>
    <row r="161" spans="1:28" ht="12.75">
      <c r="A161" s="38">
        <v>35922</v>
      </c>
      <c r="B161" s="39" t="s">
        <v>310</v>
      </c>
      <c r="C161" s="40" t="s">
        <v>313</v>
      </c>
      <c r="D161" s="40" t="s">
        <v>891</v>
      </c>
      <c r="E161" s="48"/>
      <c r="F161" s="48"/>
      <c r="G161" s="48"/>
      <c r="H161" s="48"/>
      <c r="I161" s="48"/>
      <c r="J161" s="48"/>
      <c r="K161" s="49"/>
      <c r="L161" s="49"/>
      <c r="M161" s="49"/>
      <c r="N161" s="49"/>
      <c r="O161" s="49"/>
      <c r="P161" s="49"/>
      <c r="Q161" s="49"/>
      <c r="R161" s="49"/>
      <c r="S161" s="49"/>
      <c r="T161" s="41"/>
      <c r="U161" s="42"/>
      <c r="V161" s="42"/>
      <c r="W161" s="42"/>
      <c r="X161" s="42"/>
      <c r="Y161" s="42"/>
      <c r="Z161" s="42"/>
      <c r="AA161" s="127">
        <f t="shared" si="2"/>
        <v>0</v>
      </c>
      <c r="AB161" s="43" t="s">
        <v>314</v>
      </c>
    </row>
    <row r="162" spans="1:28" ht="12.75">
      <c r="A162" s="38">
        <v>35922</v>
      </c>
      <c r="B162" s="39" t="s">
        <v>49</v>
      </c>
      <c r="C162" s="40" t="s">
        <v>421</v>
      </c>
      <c r="D162" s="40" t="s">
        <v>891</v>
      </c>
      <c r="E162" s="48"/>
      <c r="F162" s="48"/>
      <c r="G162" s="48"/>
      <c r="H162" s="48">
        <v>160</v>
      </c>
      <c r="I162" s="48">
        <v>32</v>
      </c>
      <c r="J162" s="48"/>
      <c r="K162" s="49"/>
      <c r="L162" s="49"/>
      <c r="M162" s="49"/>
      <c r="N162" s="49"/>
      <c r="O162" s="49"/>
      <c r="P162" s="49"/>
      <c r="Q162" s="49"/>
      <c r="R162" s="49"/>
      <c r="S162" s="49"/>
      <c r="T162" s="41"/>
      <c r="U162" s="42"/>
      <c r="V162" s="42"/>
      <c r="W162" s="42"/>
      <c r="X162" s="42"/>
      <c r="Y162" s="42"/>
      <c r="Z162" s="42"/>
      <c r="AA162" s="127">
        <f t="shared" si="2"/>
        <v>0</v>
      </c>
      <c r="AB162" s="43" t="s">
        <v>422</v>
      </c>
    </row>
    <row r="163" spans="1:28" ht="12.75">
      <c r="A163" s="38">
        <v>35922</v>
      </c>
      <c r="B163" s="39" t="s">
        <v>49</v>
      </c>
      <c r="C163" s="40" t="s">
        <v>420</v>
      </c>
      <c r="D163" s="40" t="s">
        <v>821</v>
      </c>
      <c r="E163" s="48"/>
      <c r="F163" s="48"/>
      <c r="G163" s="48"/>
      <c r="H163" s="48">
        <v>60</v>
      </c>
      <c r="I163" s="48">
        <v>12</v>
      </c>
      <c r="J163" s="48"/>
      <c r="K163" s="49"/>
      <c r="L163" s="49"/>
      <c r="M163" s="49"/>
      <c r="N163" s="49"/>
      <c r="O163" s="49"/>
      <c r="P163" s="49"/>
      <c r="Q163" s="49"/>
      <c r="R163" s="49"/>
      <c r="S163" s="49"/>
      <c r="T163" s="41"/>
      <c r="U163" s="42"/>
      <c r="V163" s="42"/>
      <c r="W163" s="42"/>
      <c r="X163" s="42"/>
      <c r="Y163" s="42"/>
      <c r="Z163" s="42"/>
      <c r="AA163" s="127">
        <f t="shared" si="2"/>
        <v>0</v>
      </c>
      <c r="AB163" s="43"/>
    </row>
    <row r="164" spans="1:28" ht="16.5">
      <c r="A164" s="38">
        <v>35922</v>
      </c>
      <c r="B164" s="39" t="s">
        <v>49</v>
      </c>
      <c r="C164" s="40" t="s">
        <v>875</v>
      </c>
      <c r="D164" s="40" t="s">
        <v>821</v>
      </c>
      <c r="E164" s="48"/>
      <c r="F164" s="48"/>
      <c r="G164" s="48"/>
      <c r="H164" s="48"/>
      <c r="I164" s="48"/>
      <c r="J164" s="48"/>
      <c r="K164" s="49"/>
      <c r="L164" s="49"/>
      <c r="M164" s="49"/>
      <c r="N164" s="49"/>
      <c r="O164" s="49"/>
      <c r="P164" s="49"/>
      <c r="Q164" s="49"/>
      <c r="R164" s="49"/>
      <c r="S164" s="49"/>
      <c r="T164" s="41"/>
      <c r="U164" s="42">
        <v>22692613.319999997</v>
      </c>
      <c r="V164" s="42">
        <v>3243000</v>
      </c>
      <c r="W164" s="42"/>
      <c r="X164" s="42"/>
      <c r="Y164" s="42"/>
      <c r="Z164" s="42"/>
      <c r="AA164" s="127">
        <f t="shared" si="2"/>
        <v>25935613.319999997</v>
      </c>
      <c r="AB164" s="43" t="s">
        <v>423</v>
      </c>
    </row>
    <row r="165" spans="1:28" ht="41.25">
      <c r="A165" s="38">
        <v>35923</v>
      </c>
      <c r="B165" s="39" t="s">
        <v>829</v>
      </c>
      <c r="C165" s="40" t="s">
        <v>222</v>
      </c>
      <c r="D165" s="40" t="s">
        <v>107</v>
      </c>
      <c r="E165" s="48"/>
      <c r="F165" s="48"/>
      <c r="G165" s="48"/>
      <c r="H165" s="48"/>
      <c r="I165" s="48"/>
      <c r="J165" s="48"/>
      <c r="K165" s="49"/>
      <c r="L165" s="49"/>
      <c r="M165" s="49"/>
      <c r="N165" s="49"/>
      <c r="O165" s="49"/>
      <c r="P165" s="49"/>
      <c r="Q165" s="49"/>
      <c r="R165" s="49"/>
      <c r="S165" s="49"/>
      <c r="T165" s="41"/>
      <c r="U165" s="42">
        <v>41454893.02</v>
      </c>
      <c r="V165" s="42">
        <v>6302000</v>
      </c>
      <c r="W165" s="42"/>
      <c r="X165" s="42"/>
      <c r="Y165" s="42"/>
      <c r="Z165" s="42"/>
      <c r="AA165" s="127">
        <f t="shared" si="2"/>
        <v>47756893.02</v>
      </c>
      <c r="AB165" s="43" t="s">
        <v>223</v>
      </c>
    </row>
    <row r="166" spans="1:28" ht="24.75">
      <c r="A166" s="38">
        <v>35923</v>
      </c>
      <c r="B166" s="39" t="s">
        <v>829</v>
      </c>
      <c r="C166" s="40" t="s">
        <v>224</v>
      </c>
      <c r="D166" s="40" t="s">
        <v>107</v>
      </c>
      <c r="E166" s="48"/>
      <c r="F166" s="48"/>
      <c r="G166" s="48"/>
      <c r="H166" s="48">
        <v>370</v>
      </c>
      <c r="I166" s="48">
        <v>80</v>
      </c>
      <c r="J166" s="48"/>
      <c r="K166" s="49"/>
      <c r="L166" s="49">
        <v>1</v>
      </c>
      <c r="M166" s="49">
        <v>1</v>
      </c>
      <c r="N166" s="49"/>
      <c r="O166" s="49">
        <v>2</v>
      </c>
      <c r="P166" s="49"/>
      <c r="Q166" s="49"/>
      <c r="R166" s="49"/>
      <c r="S166" s="49"/>
      <c r="T166" s="41" t="s">
        <v>231</v>
      </c>
      <c r="U166" s="42"/>
      <c r="V166" s="42"/>
      <c r="W166" s="42"/>
      <c r="X166" s="42"/>
      <c r="Y166" s="42"/>
      <c r="Z166" s="42"/>
      <c r="AA166" s="127">
        <f t="shared" si="2"/>
        <v>0</v>
      </c>
      <c r="AB166" s="43"/>
    </row>
    <row r="167" spans="1:28" ht="16.5">
      <c r="A167" s="38">
        <v>35923</v>
      </c>
      <c r="B167" s="39" t="s">
        <v>829</v>
      </c>
      <c r="C167" s="40" t="s">
        <v>225</v>
      </c>
      <c r="D167" s="40" t="s">
        <v>107</v>
      </c>
      <c r="E167" s="48"/>
      <c r="F167" s="48"/>
      <c r="G167" s="48"/>
      <c r="H167" s="48">
        <v>165</v>
      </c>
      <c r="I167" s="48">
        <v>35</v>
      </c>
      <c r="J167" s="48"/>
      <c r="K167" s="49"/>
      <c r="L167" s="49">
        <v>2</v>
      </c>
      <c r="M167" s="49"/>
      <c r="N167" s="49">
        <v>1</v>
      </c>
      <c r="O167" s="49"/>
      <c r="P167" s="49"/>
      <c r="Q167" s="49"/>
      <c r="R167" s="49"/>
      <c r="S167" s="49"/>
      <c r="T167" s="41" t="s">
        <v>232</v>
      </c>
      <c r="U167" s="42"/>
      <c r="V167" s="42"/>
      <c r="W167" s="42"/>
      <c r="X167" s="42"/>
      <c r="Y167" s="42"/>
      <c r="Z167" s="42"/>
      <c r="AA167" s="127">
        <f t="shared" si="2"/>
        <v>0</v>
      </c>
      <c r="AB167" s="43" t="s">
        <v>235</v>
      </c>
    </row>
    <row r="168" spans="1:28" ht="16.5">
      <c r="A168" s="38">
        <v>35923</v>
      </c>
      <c r="B168" s="39" t="s">
        <v>829</v>
      </c>
      <c r="C168" s="40" t="s">
        <v>226</v>
      </c>
      <c r="D168" s="40" t="s">
        <v>107</v>
      </c>
      <c r="E168" s="48"/>
      <c r="F168" s="48"/>
      <c r="G168" s="48"/>
      <c r="H168" s="48">
        <v>320</v>
      </c>
      <c r="I168" s="48">
        <v>65</v>
      </c>
      <c r="J168" s="48">
        <v>1</v>
      </c>
      <c r="K168" s="49">
        <v>5</v>
      </c>
      <c r="L168" s="49">
        <v>1</v>
      </c>
      <c r="M168" s="49">
        <v>8</v>
      </c>
      <c r="N168" s="49">
        <v>5</v>
      </c>
      <c r="O168" s="49"/>
      <c r="P168" s="49"/>
      <c r="Q168" s="49"/>
      <c r="R168" s="49"/>
      <c r="S168" s="49"/>
      <c r="T168" s="41" t="s">
        <v>232</v>
      </c>
      <c r="U168" s="42"/>
      <c r="V168" s="42"/>
      <c r="W168" s="42"/>
      <c r="X168" s="42"/>
      <c r="Y168" s="42"/>
      <c r="Z168" s="42"/>
      <c r="AA168" s="127">
        <f t="shared" si="2"/>
        <v>0</v>
      </c>
      <c r="AB168" s="43" t="s">
        <v>236</v>
      </c>
    </row>
    <row r="169" spans="1:28" ht="12.75">
      <c r="A169" s="38">
        <v>35923</v>
      </c>
      <c r="B169" s="39" t="s">
        <v>829</v>
      </c>
      <c r="C169" s="40" t="s">
        <v>227</v>
      </c>
      <c r="D169" s="40" t="s">
        <v>107</v>
      </c>
      <c r="E169" s="48"/>
      <c r="F169" s="48"/>
      <c r="G169" s="48"/>
      <c r="H169" s="48">
        <v>100</v>
      </c>
      <c r="I169" s="48">
        <v>23</v>
      </c>
      <c r="J169" s="48"/>
      <c r="K169" s="49"/>
      <c r="L169" s="49">
        <v>5</v>
      </c>
      <c r="M169" s="49">
        <v>2</v>
      </c>
      <c r="N169" s="49">
        <v>3</v>
      </c>
      <c r="O169" s="49"/>
      <c r="P169" s="49"/>
      <c r="Q169" s="49"/>
      <c r="R169" s="49"/>
      <c r="S169" s="49"/>
      <c r="T169" s="41"/>
      <c r="U169" s="42"/>
      <c r="V169" s="42"/>
      <c r="W169" s="42"/>
      <c r="X169" s="42"/>
      <c r="Y169" s="42"/>
      <c r="Z169" s="42"/>
      <c r="AA169" s="127">
        <f t="shared" si="2"/>
        <v>0</v>
      </c>
      <c r="AB169" s="43" t="s">
        <v>237</v>
      </c>
    </row>
    <row r="170" spans="1:28" ht="16.5">
      <c r="A170" s="38">
        <v>35923</v>
      </c>
      <c r="B170" s="39" t="s">
        <v>829</v>
      </c>
      <c r="C170" s="40" t="s">
        <v>228</v>
      </c>
      <c r="D170" s="40" t="s">
        <v>107</v>
      </c>
      <c r="E170" s="48"/>
      <c r="F170" s="48"/>
      <c r="G170" s="48"/>
      <c r="H170" s="48">
        <v>120</v>
      </c>
      <c r="I170" s="48">
        <v>25</v>
      </c>
      <c r="J170" s="48"/>
      <c r="K170" s="49"/>
      <c r="L170" s="49"/>
      <c r="M170" s="49"/>
      <c r="N170" s="49"/>
      <c r="O170" s="49"/>
      <c r="P170" s="49"/>
      <c r="Q170" s="49"/>
      <c r="R170" s="49"/>
      <c r="S170" s="49"/>
      <c r="T170" s="41" t="s">
        <v>233</v>
      </c>
      <c r="U170" s="42"/>
      <c r="V170" s="42"/>
      <c r="W170" s="42"/>
      <c r="X170" s="42"/>
      <c r="Y170" s="42"/>
      <c r="Z170" s="42"/>
      <c r="AA170" s="127">
        <f t="shared" si="2"/>
        <v>0</v>
      </c>
      <c r="AB170" s="43"/>
    </row>
    <row r="171" spans="1:28" ht="16.5">
      <c r="A171" s="38">
        <v>35923</v>
      </c>
      <c r="B171" s="39" t="s">
        <v>829</v>
      </c>
      <c r="C171" s="40" t="s">
        <v>229</v>
      </c>
      <c r="D171" s="40" t="s">
        <v>107</v>
      </c>
      <c r="E171" s="48"/>
      <c r="F171" s="48"/>
      <c r="G171" s="48"/>
      <c r="H171" s="48">
        <v>130</v>
      </c>
      <c r="I171" s="48">
        <v>25</v>
      </c>
      <c r="J171" s="48"/>
      <c r="K171" s="49"/>
      <c r="L171" s="49">
        <v>1</v>
      </c>
      <c r="M171" s="49"/>
      <c r="N171" s="49"/>
      <c r="O171" s="49"/>
      <c r="P171" s="49"/>
      <c r="Q171" s="49"/>
      <c r="R171" s="49"/>
      <c r="S171" s="49"/>
      <c r="T171" s="41" t="s">
        <v>234</v>
      </c>
      <c r="U171" s="42"/>
      <c r="V171" s="42"/>
      <c r="W171" s="42"/>
      <c r="X171" s="42"/>
      <c r="Y171" s="42"/>
      <c r="Z171" s="42"/>
      <c r="AA171" s="127">
        <f t="shared" si="2"/>
        <v>0</v>
      </c>
      <c r="AB171" s="43"/>
    </row>
    <row r="172" spans="1:28" ht="12.75">
      <c r="A172" s="38">
        <v>35923</v>
      </c>
      <c r="B172" s="39" t="s">
        <v>829</v>
      </c>
      <c r="C172" s="40" t="s">
        <v>230</v>
      </c>
      <c r="D172" s="40" t="s">
        <v>107</v>
      </c>
      <c r="E172" s="48"/>
      <c r="F172" s="48"/>
      <c r="G172" s="48"/>
      <c r="H172" s="48">
        <v>98</v>
      </c>
      <c r="I172" s="48">
        <v>21</v>
      </c>
      <c r="J172" s="48"/>
      <c r="K172" s="49"/>
      <c r="L172" s="49"/>
      <c r="M172" s="49"/>
      <c r="N172" s="49">
        <v>1</v>
      </c>
      <c r="O172" s="49">
        <v>1</v>
      </c>
      <c r="P172" s="49"/>
      <c r="Q172" s="49"/>
      <c r="R172" s="49"/>
      <c r="S172" s="49"/>
      <c r="T172" s="41"/>
      <c r="U172" s="42"/>
      <c r="V172" s="42"/>
      <c r="W172" s="42"/>
      <c r="X172" s="42"/>
      <c r="Y172" s="42"/>
      <c r="Z172" s="42"/>
      <c r="AA172" s="127">
        <f t="shared" si="2"/>
        <v>0</v>
      </c>
      <c r="AB172" s="43"/>
    </row>
    <row r="173" spans="1:28" ht="12.75">
      <c r="A173" s="38">
        <v>35923</v>
      </c>
      <c r="B173" s="39" t="s">
        <v>195</v>
      </c>
      <c r="C173" s="40" t="s">
        <v>245</v>
      </c>
      <c r="D173" s="40" t="s">
        <v>911</v>
      </c>
      <c r="E173" s="48">
        <v>1</v>
      </c>
      <c r="F173" s="48">
        <v>1</v>
      </c>
      <c r="G173" s="48"/>
      <c r="H173" s="48">
        <v>88</v>
      </c>
      <c r="I173" s="48">
        <v>22</v>
      </c>
      <c r="J173" s="48"/>
      <c r="K173" s="49">
        <v>22</v>
      </c>
      <c r="L173" s="49"/>
      <c r="M173" s="49"/>
      <c r="N173" s="49"/>
      <c r="O173" s="49"/>
      <c r="P173" s="49"/>
      <c r="Q173" s="49"/>
      <c r="R173" s="49"/>
      <c r="S173" s="49"/>
      <c r="T173" s="41"/>
      <c r="U173" s="42"/>
      <c r="V173" s="42"/>
      <c r="W173" s="42"/>
      <c r="X173" s="42"/>
      <c r="Y173" s="42"/>
      <c r="Z173" s="42"/>
      <c r="AA173" s="127">
        <f t="shared" si="2"/>
        <v>0</v>
      </c>
      <c r="AB173" s="43" t="s">
        <v>250</v>
      </c>
    </row>
    <row r="174" spans="1:28" ht="12.75">
      <c r="A174" s="38">
        <v>35923</v>
      </c>
      <c r="B174" s="39" t="s">
        <v>129</v>
      </c>
      <c r="C174" s="40" t="s">
        <v>261</v>
      </c>
      <c r="D174" s="40" t="s">
        <v>891</v>
      </c>
      <c r="E174" s="48"/>
      <c r="F174" s="48"/>
      <c r="G174" s="48"/>
      <c r="H174" s="48">
        <v>590</v>
      </c>
      <c r="I174" s="48">
        <v>118</v>
      </c>
      <c r="J174" s="48"/>
      <c r="K174" s="49"/>
      <c r="L174" s="49"/>
      <c r="M174" s="49"/>
      <c r="N174" s="49">
        <v>9</v>
      </c>
      <c r="O174" s="49"/>
      <c r="P174" s="49"/>
      <c r="Q174" s="49"/>
      <c r="R174" s="49"/>
      <c r="S174" s="49"/>
      <c r="T174" s="41" t="s">
        <v>94</v>
      </c>
      <c r="U174" s="42">
        <v>6542400</v>
      </c>
      <c r="V174" s="42">
        <v>2760000</v>
      </c>
      <c r="W174" s="42"/>
      <c r="X174" s="42"/>
      <c r="Y174" s="42"/>
      <c r="Z174" s="42"/>
      <c r="AA174" s="127">
        <f t="shared" si="2"/>
        <v>9302400</v>
      </c>
      <c r="AB174" s="43" t="s">
        <v>262</v>
      </c>
    </row>
    <row r="175" spans="1:28" ht="22.5">
      <c r="A175" s="38">
        <v>35923</v>
      </c>
      <c r="B175" s="39" t="s">
        <v>877</v>
      </c>
      <c r="C175" s="40" t="s">
        <v>279</v>
      </c>
      <c r="D175" s="40" t="s">
        <v>821</v>
      </c>
      <c r="E175" s="48"/>
      <c r="F175" s="48"/>
      <c r="G175" s="48"/>
      <c r="H175" s="48"/>
      <c r="I175" s="48"/>
      <c r="J175" s="48"/>
      <c r="K175" s="49"/>
      <c r="L175" s="49"/>
      <c r="M175" s="49"/>
      <c r="N175" s="49"/>
      <c r="O175" s="49"/>
      <c r="P175" s="49"/>
      <c r="Q175" s="49"/>
      <c r="R175" s="49"/>
      <c r="S175" s="49"/>
      <c r="T175" s="41"/>
      <c r="U175" s="42"/>
      <c r="V175" s="42"/>
      <c r="W175" s="42"/>
      <c r="X175" s="42"/>
      <c r="Y175" s="42"/>
      <c r="Z175" s="42"/>
      <c r="AA175" s="127">
        <f t="shared" si="2"/>
        <v>0</v>
      </c>
      <c r="AB175" s="43" t="s">
        <v>280</v>
      </c>
    </row>
    <row r="176" spans="1:28" ht="12.75">
      <c r="A176" s="38">
        <v>35923</v>
      </c>
      <c r="B176" s="39" t="s">
        <v>877</v>
      </c>
      <c r="C176" s="40" t="s">
        <v>281</v>
      </c>
      <c r="D176" s="40" t="s">
        <v>821</v>
      </c>
      <c r="E176" s="48"/>
      <c r="F176" s="48"/>
      <c r="G176" s="48"/>
      <c r="H176" s="48">
        <v>1250</v>
      </c>
      <c r="I176" s="48">
        <v>250</v>
      </c>
      <c r="J176" s="48"/>
      <c r="K176" s="49"/>
      <c r="L176" s="49"/>
      <c r="M176" s="49"/>
      <c r="N176" s="49"/>
      <c r="O176" s="49"/>
      <c r="P176" s="49"/>
      <c r="Q176" s="49"/>
      <c r="R176" s="49"/>
      <c r="S176" s="49"/>
      <c r="T176" s="41"/>
      <c r="U176" s="42"/>
      <c r="V176" s="42"/>
      <c r="W176" s="42"/>
      <c r="X176" s="42"/>
      <c r="Y176" s="42"/>
      <c r="Z176" s="42"/>
      <c r="AA176" s="127">
        <f t="shared" si="2"/>
        <v>0</v>
      </c>
      <c r="AB176" s="43" t="s">
        <v>282</v>
      </c>
    </row>
    <row r="177" spans="1:28" ht="12.75">
      <c r="A177" s="38">
        <v>35923</v>
      </c>
      <c r="B177" s="39" t="s">
        <v>39</v>
      </c>
      <c r="C177" s="40" t="s">
        <v>158</v>
      </c>
      <c r="D177" s="40" t="s">
        <v>821</v>
      </c>
      <c r="E177" s="48"/>
      <c r="F177" s="48"/>
      <c r="G177" s="48"/>
      <c r="H177" s="48">
        <v>325</v>
      </c>
      <c r="I177" s="48">
        <v>65</v>
      </c>
      <c r="J177" s="48"/>
      <c r="K177" s="49">
        <v>11</v>
      </c>
      <c r="L177" s="49"/>
      <c r="M177" s="49"/>
      <c r="N177" s="49"/>
      <c r="O177" s="49"/>
      <c r="P177" s="49"/>
      <c r="Q177" s="49"/>
      <c r="R177" s="49"/>
      <c r="S177" s="49"/>
      <c r="T177" s="41"/>
      <c r="U177" s="42"/>
      <c r="V177" s="42">
        <v>1495000</v>
      </c>
      <c r="W177" s="42"/>
      <c r="X177" s="42"/>
      <c r="Y177" s="42"/>
      <c r="Z177" s="42"/>
      <c r="AA177" s="127">
        <f t="shared" si="2"/>
        <v>1495000</v>
      </c>
      <c r="AB177" s="43"/>
    </row>
    <row r="178" spans="1:28" ht="24.75">
      <c r="A178" s="38">
        <v>35923</v>
      </c>
      <c r="B178" s="39" t="s">
        <v>893</v>
      </c>
      <c r="C178" s="40" t="s">
        <v>322</v>
      </c>
      <c r="D178" s="40" t="s">
        <v>821</v>
      </c>
      <c r="E178" s="48"/>
      <c r="F178" s="48"/>
      <c r="G178" s="48"/>
      <c r="H178" s="48">
        <v>15</v>
      </c>
      <c r="I178" s="48">
        <v>3</v>
      </c>
      <c r="J178" s="48">
        <v>2</v>
      </c>
      <c r="K178" s="49"/>
      <c r="L178" s="49"/>
      <c r="M178" s="49">
        <v>1</v>
      </c>
      <c r="N178" s="49">
        <v>1</v>
      </c>
      <c r="O178" s="49">
        <v>1</v>
      </c>
      <c r="P178" s="49"/>
      <c r="Q178" s="49"/>
      <c r="R178" s="49"/>
      <c r="S178" s="49"/>
      <c r="T178" s="41" t="s">
        <v>323</v>
      </c>
      <c r="U178" s="42"/>
      <c r="V178" s="42"/>
      <c r="W178" s="42"/>
      <c r="X178" s="42"/>
      <c r="Y178" s="42"/>
      <c r="Z178" s="42">
        <v>5000000</v>
      </c>
      <c r="AA178" s="127">
        <f t="shared" si="2"/>
        <v>5000000</v>
      </c>
      <c r="AB178" s="43" t="s">
        <v>343</v>
      </c>
    </row>
    <row r="179" spans="1:28" ht="24.75">
      <c r="A179" s="38">
        <v>35923</v>
      </c>
      <c r="B179" s="39" t="s">
        <v>893</v>
      </c>
      <c r="C179" s="40" t="s">
        <v>344</v>
      </c>
      <c r="D179" s="40" t="s">
        <v>821</v>
      </c>
      <c r="E179" s="48"/>
      <c r="F179" s="48"/>
      <c r="G179" s="48"/>
      <c r="H179" s="48">
        <v>160</v>
      </c>
      <c r="I179" s="48">
        <v>32</v>
      </c>
      <c r="J179" s="48"/>
      <c r="K179" s="49"/>
      <c r="L179" s="49"/>
      <c r="M179" s="49"/>
      <c r="N179" s="49"/>
      <c r="O179" s="49">
        <v>5</v>
      </c>
      <c r="P179" s="49"/>
      <c r="Q179" s="49"/>
      <c r="R179" s="49"/>
      <c r="S179" s="49"/>
      <c r="T179" s="41"/>
      <c r="U179" s="42"/>
      <c r="V179" s="42"/>
      <c r="W179" s="42"/>
      <c r="X179" s="42"/>
      <c r="Y179" s="42"/>
      <c r="Z179" s="42">
        <v>625000</v>
      </c>
      <c r="AA179" s="127">
        <f t="shared" si="2"/>
        <v>625000</v>
      </c>
      <c r="AB179" s="43" t="s">
        <v>345</v>
      </c>
    </row>
    <row r="180" spans="1:28" ht="24.75">
      <c r="A180" s="38">
        <v>35923</v>
      </c>
      <c r="B180" s="39" t="s">
        <v>893</v>
      </c>
      <c r="C180" s="40" t="s">
        <v>346</v>
      </c>
      <c r="D180" s="40" t="s">
        <v>821</v>
      </c>
      <c r="E180" s="48"/>
      <c r="F180" s="48"/>
      <c r="G180" s="48"/>
      <c r="H180" s="48">
        <v>25</v>
      </c>
      <c r="I180" s="48">
        <v>5</v>
      </c>
      <c r="J180" s="48"/>
      <c r="K180" s="49"/>
      <c r="L180" s="49">
        <v>4</v>
      </c>
      <c r="M180" s="49"/>
      <c r="N180" s="49">
        <v>10</v>
      </c>
      <c r="O180" s="49"/>
      <c r="P180" s="49"/>
      <c r="Q180" s="49"/>
      <c r="R180" s="49"/>
      <c r="S180" s="49"/>
      <c r="T180" s="41" t="s">
        <v>347</v>
      </c>
      <c r="U180" s="42"/>
      <c r="V180" s="42"/>
      <c r="W180" s="42"/>
      <c r="X180" s="42"/>
      <c r="Y180" s="42"/>
      <c r="Z180" s="42"/>
      <c r="AA180" s="127">
        <f t="shared" si="2"/>
        <v>0</v>
      </c>
      <c r="AB180" s="43" t="s">
        <v>348</v>
      </c>
    </row>
    <row r="181" spans="1:28" ht="16.5">
      <c r="A181" s="38">
        <v>35923</v>
      </c>
      <c r="B181" s="39" t="s">
        <v>41</v>
      </c>
      <c r="C181" s="40" t="s">
        <v>349</v>
      </c>
      <c r="D181" s="40" t="s">
        <v>821</v>
      </c>
      <c r="E181" s="48"/>
      <c r="F181" s="48"/>
      <c r="G181" s="48"/>
      <c r="H181" s="48"/>
      <c r="I181" s="48"/>
      <c r="J181" s="48"/>
      <c r="K181" s="49"/>
      <c r="L181" s="49"/>
      <c r="M181" s="49"/>
      <c r="N181" s="49"/>
      <c r="O181" s="49">
        <v>1</v>
      </c>
      <c r="P181" s="49">
        <v>1</v>
      </c>
      <c r="Q181" s="49"/>
      <c r="R181" s="49"/>
      <c r="S181" s="49"/>
      <c r="T181" s="41"/>
      <c r="U181" s="42"/>
      <c r="V181" s="42"/>
      <c r="W181" s="42"/>
      <c r="X181" s="42"/>
      <c r="Y181" s="42"/>
      <c r="Z181" s="42"/>
      <c r="AA181" s="127">
        <f t="shared" si="2"/>
        <v>0</v>
      </c>
      <c r="AB181" s="43" t="s">
        <v>365</v>
      </c>
    </row>
    <row r="182" spans="1:28" ht="12.75">
      <c r="A182" s="38">
        <v>35925</v>
      </c>
      <c r="B182" s="39" t="s">
        <v>49</v>
      </c>
      <c r="C182" s="40" t="s">
        <v>424</v>
      </c>
      <c r="D182" s="40" t="s">
        <v>911</v>
      </c>
      <c r="E182" s="48"/>
      <c r="F182" s="48"/>
      <c r="G182" s="48"/>
      <c r="H182" s="48">
        <v>125</v>
      </c>
      <c r="I182" s="48">
        <v>25</v>
      </c>
      <c r="J182" s="48"/>
      <c r="K182" s="49">
        <v>10</v>
      </c>
      <c r="L182" s="49"/>
      <c r="M182" s="49"/>
      <c r="N182" s="49">
        <v>1</v>
      </c>
      <c r="O182" s="49"/>
      <c r="P182" s="49"/>
      <c r="Q182" s="49"/>
      <c r="R182" s="49"/>
      <c r="S182" s="49"/>
      <c r="T182" s="41" t="s">
        <v>94</v>
      </c>
      <c r="U182" s="42">
        <v>3512187.75</v>
      </c>
      <c r="V182" s="42"/>
      <c r="W182" s="42"/>
      <c r="X182" s="42"/>
      <c r="Y182" s="42"/>
      <c r="Z182" s="42"/>
      <c r="AA182" s="127">
        <f t="shared" si="2"/>
        <v>3512187.75</v>
      </c>
      <c r="AB182" s="43"/>
    </row>
    <row r="183" spans="1:28" ht="12.75">
      <c r="A183" s="38">
        <v>35926</v>
      </c>
      <c r="B183" s="39" t="s">
        <v>820</v>
      </c>
      <c r="C183" s="40" t="s">
        <v>182</v>
      </c>
      <c r="D183" s="40" t="s">
        <v>891</v>
      </c>
      <c r="E183" s="48"/>
      <c r="F183" s="48"/>
      <c r="G183" s="48"/>
      <c r="H183" s="48">
        <v>20</v>
      </c>
      <c r="I183" s="48">
        <v>4</v>
      </c>
      <c r="J183" s="48"/>
      <c r="K183" s="49">
        <v>4</v>
      </c>
      <c r="L183" s="49"/>
      <c r="M183" s="49"/>
      <c r="N183" s="49"/>
      <c r="O183" s="49"/>
      <c r="P183" s="49"/>
      <c r="Q183" s="49"/>
      <c r="R183" s="49"/>
      <c r="S183" s="49"/>
      <c r="T183" s="41"/>
      <c r="U183" s="42"/>
      <c r="V183" s="42"/>
      <c r="W183" s="42"/>
      <c r="X183" s="42"/>
      <c r="Y183" s="42"/>
      <c r="Z183" s="42"/>
      <c r="AA183" s="127">
        <f t="shared" si="2"/>
        <v>0</v>
      </c>
      <c r="AB183" s="43" t="s">
        <v>183</v>
      </c>
    </row>
    <row r="184" spans="1:28" ht="16.5">
      <c r="A184" s="38">
        <v>35926</v>
      </c>
      <c r="B184" s="39" t="s">
        <v>129</v>
      </c>
      <c r="C184" s="40" t="s">
        <v>263</v>
      </c>
      <c r="D184" s="40" t="s">
        <v>891</v>
      </c>
      <c r="E184" s="48"/>
      <c r="F184" s="48"/>
      <c r="G184" s="48"/>
      <c r="H184" s="48"/>
      <c r="I184" s="48"/>
      <c r="J184" s="48"/>
      <c r="K184" s="49"/>
      <c r="L184" s="49"/>
      <c r="M184" s="49"/>
      <c r="N184" s="49"/>
      <c r="O184" s="49"/>
      <c r="P184" s="49"/>
      <c r="Q184" s="49"/>
      <c r="R184" s="49"/>
      <c r="S184" s="49"/>
      <c r="T184" s="41" t="s">
        <v>264</v>
      </c>
      <c r="U184" s="42"/>
      <c r="V184" s="42"/>
      <c r="W184" s="42"/>
      <c r="X184" s="42"/>
      <c r="Y184" s="42"/>
      <c r="Z184" s="42"/>
      <c r="AA184" s="127">
        <f t="shared" si="2"/>
        <v>0</v>
      </c>
      <c r="AB184" s="43"/>
    </row>
    <row r="185" spans="1:28" ht="24.75">
      <c r="A185" s="38">
        <v>35926</v>
      </c>
      <c r="B185" s="39" t="s">
        <v>13</v>
      </c>
      <c r="C185" s="40" t="s">
        <v>273</v>
      </c>
      <c r="D185" s="40" t="s">
        <v>821</v>
      </c>
      <c r="E185" s="48"/>
      <c r="F185" s="48"/>
      <c r="G185" s="48"/>
      <c r="H185" s="48">
        <v>300</v>
      </c>
      <c r="I185" s="48">
        <v>92</v>
      </c>
      <c r="J185" s="48"/>
      <c r="K185" s="49"/>
      <c r="L185" s="49"/>
      <c r="M185" s="49"/>
      <c r="N185" s="49"/>
      <c r="O185" s="49"/>
      <c r="P185" s="49"/>
      <c r="Q185" s="49"/>
      <c r="R185" s="49"/>
      <c r="S185" s="49"/>
      <c r="T185" s="41"/>
      <c r="U185" s="42">
        <v>14078484.000000002</v>
      </c>
      <c r="V185" s="42">
        <v>2300000</v>
      </c>
      <c r="W185" s="42"/>
      <c r="X185" s="42"/>
      <c r="Y185" s="42"/>
      <c r="Z185" s="42"/>
      <c r="AA185" s="127">
        <f t="shared" si="2"/>
        <v>16378484.000000002</v>
      </c>
      <c r="AB185" s="43" t="s">
        <v>278</v>
      </c>
    </row>
    <row r="186" spans="1:28" ht="12.75">
      <c r="A186" s="38">
        <v>35926</v>
      </c>
      <c r="B186" s="39" t="s">
        <v>882</v>
      </c>
      <c r="C186" s="40" t="s">
        <v>308</v>
      </c>
      <c r="D186" s="40" t="s">
        <v>821</v>
      </c>
      <c r="E186" s="48"/>
      <c r="F186" s="48"/>
      <c r="G186" s="48"/>
      <c r="H186" s="48"/>
      <c r="I186" s="48"/>
      <c r="J186" s="48"/>
      <c r="K186" s="49"/>
      <c r="L186" s="49"/>
      <c r="M186" s="49"/>
      <c r="N186" s="49"/>
      <c r="O186" s="49"/>
      <c r="P186" s="49"/>
      <c r="Q186" s="49"/>
      <c r="R186" s="49"/>
      <c r="S186" s="49"/>
      <c r="T186" s="41"/>
      <c r="U186" s="42"/>
      <c r="V186" s="42"/>
      <c r="W186" s="42"/>
      <c r="X186" s="42"/>
      <c r="Y186" s="42"/>
      <c r="Z186" s="42"/>
      <c r="AA186" s="127">
        <f t="shared" si="2"/>
        <v>0</v>
      </c>
      <c r="AB186" s="43" t="s">
        <v>309</v>
      </c>
    </row>
    <row r="187" spans="1:28" ht="22.5">
      <c r="A187" s="38">
        <v>35926</v>
      </c>
      <c r="B187" s="39" t="s">
        <v>893</v>
      </c>
      <c r="C187" s="40" t="s">
        <v>320</v>
      </c>
      <c r="D187" s="40" t="s">
        <v>911</v>
      </c>
      <c r="E187" s="48"/>
      <c r="F187" s="48"/>
      <c r="G187" s="48"/>
      <c r="H187" s="48">
        <v>37</v>
      </c>
      <c r="I187" s="48">
        <v>11</v>
      </c>
      <c r="J187" s="48"/>
      <c r="K187" s="49">
        <v>11</v>
      </c>
      <c r="L187" s="49"/>
      <c r="M187" s="49"/>
      <c r="N187" s="49"/>
      <c r="O187" s="49"/>
      <c r="P187" s="49"/>
      <c r="Q187" s="49"/>
      <c r="R187" s="49"/>
      <c r="S187" s="49"/>
      <c r="T187" s="41"/>
      <c r="U187" s="42"/>
      <c r="V187" s="42"/>
      <c r="W187" s="42">
        <v>1263008</v>
      </c>
      <c r="X187" s="42"/>
      <c r="Y187" s="42"/>
      <c r="Z187" s="42"/>
      <c r="AA187" s="127">
        <f t="shared" si="2"/>
        <v>1263008</v>
      </c>
      <c r="AB187" s="43" t="s">
        <v>321</v>
      </c>
    </row>
    <row r="188" spans="1:28" ht="16.5">
      <c r="A188" s="38">
        <v>35927</v>
      </c>
      <c r="B188" s="39" t="s">
        <v>11</v>
      </c>
      <c r="C188" s="40" t="s">
        <v>251</v>
      </c>
      <c r="D188" s="40" t="s">
        <v>821</v>
      </c>
      <c r="E188" s="48"/>
      <c r="F188" s="48"/>
      <c r="G188" s="48"/>
      <c r="H188" s="48"/>
      <c r="I188" s="48"/>
      <c r="J188" s="48"/>
      <c r="K188" s="49"/>
      <c r="L188" s="49"/>
      <c r="M188" s="49"/>
      <c r="N188" s="49"/>
      <c r="O188" s="49"/>
      <c r="P188" s="49"/>
      <c r="Q188" s="49"/>
      <c r="R188" s="49"/>
      <c r="S188" s="49"/>
      <c r="T188" s="41"/>
      <c r="U188" s="42"/>
      <c r="V188" s="42"/>
      <c r="W188" s="42"/>
      <c r="X188" s="42"/>
      <c r="Y188" s="42"/>
      <c r="Z188" s="42"/>
      <c r="AA188" s="127">
        <f t="shared" si="2"/>
        <v>0</v>
      </c>
      <c r="AB188" s="43" t="s">
        <v>252</v>
      </c>
    </row>
    <row r="189" spans="1:28" ht="12.75">
      <c r="A189" s="38">
        <v>35927</v>
      </c>
      <c r="B189" s="39" t="s">
        <v>16</v>
      </c>
      <c r="C189" s="40" t="s">
        <v>293</v>
      </c>
      <c r="D189" s="40" t="s">
        <v>891</v>
      </c>
      <c r="E189" s="48"/>
      <c r="F189" s="48"/>
      <c r="G189" s="48"/>
      <c r="H189" s="48"/>
      <c r="I189" s="48"/>
      <c r="J189" s="48"/>
      <c r="K189" s="49"/>
      <c r="L189" s="49"/>
      <c r="M189" s="49"/>
      <c r="N189" s="49"/>
      <c r="O189" s="49"/>
      <c r="P189" s="49"/>
      <c r="Q189" s="49"/>
      <c r="R189" s="49"/>
      <c r="S189" s="49"/>
      <c r="T189" s="41"/>
      <c r="U189" s="42"/>
      <c r="V189" s="42"/>
      <c r="W189" s="42"/>
      <c r="X189" s="42"/>
      <c r="Y189" s="42"/>
      <c r="Z189" s="42"/>
      <c r="AA189" s="127">
        <f t="shared" si="2"/>
        <v>0</v>
      </c>
      <c r="AB189" s="43" t="s">
        <v>294</v>
      </c>
    </row>
    <row r="190" spans="1:28" ht="12.75">
      <c r="A190" s="38">
        <v>35927</v>
      </c>
      <c r="B190" s="39" t="s">
        <v>16</v>
      </c>
      <c r="C190" s="40" t="s">
        <v>142</v>
      </c>
      <c r="D190" s="40" t="s">
        <v>891</v>
      </c>
      <c r="E190" s="48"/>
      <c r="F190" s="48"/>
      <c r="G190" s="48"/>
      <c r="H190" s="48">
        <v>12</v>
      </c>
      <c r="I190" s="48">
        <v>3</v>
      </c>
      <c r="J190" s="48"/>
      <c r="K190" s="49"/>
      <c r="L190" s="49"/>
      <c r="M190" s="49"/>
      <c r="N190" s="49"/>
      <c r="O190" s="49"/>
      <c r="P190" s="49"/>
      <c r="Q190" s="49"/>
      <c r="R190" s="49"/>
      <c r="S190" s="49"/>
      <c r="T190" s="41"/>
      <c r="U190" s="42"/>
      <c r="V190" s="42"/>
      <c r="W190" s="42"/>
      <c r="X190" s="42"/>
      <c r="Y190" s="42"/>
      <c r="Z190" s="42"/>
      <c r="AA190" s="127">
        <f t="shared" si="2"/>
        <v>0</v>
      </c>
      <c r="AB190" s="43"/>
    </row>
    <row r="191" spans="1:28" ht="12.75">
      <c r="A191" s="38">
        <v>35927</v>
      </c>
      <c r="B191" s="39" t="s">
        <v>889</v>
      </c>
      <c r="C191" s="40" t="s">
        <v>315</v>
      </c>
      <c r="D191" s="40" t="s">
        <v>891</v>
      </c>
      <c r="E191" s="48"/>
      <c r="F191" s="48"/>
      <c r="G191" s="48"/>
      <c r="H191" s="48"/>
      <c r="I191" s="48"/>
      <c r="J191" s="48"/>
      <c r="K191" s="49"/>
      <c r="L191" s="49">
        <v>1</v>
      </c>
      <c r="M191" s="49"/>
      <c r="N191" s="49"/>
      <c r="O191" s="49"/>
      <c r="P191" s="49"/>
      <c r="Q191" s="49"/>
      <c r="R191" s="49"/>
      <c r="S191" s="49"/>
      <c r="T191" s="41"/>
      <c r="U191" s="42"/>
      <c r="V191" s="42"/>
      <c r="W191" s="42"/>
      <c r="X191" s="42"/>
      <c r="Y191" s="42"/>
      <c r="Z191" s="42"/>
      <c r="AA191" s="127">
        <f t="shared" si="2"/>
        <v>0</v>
      </c>
      <c r="AB191" s="43" t="s">
        <v>316</v>
      </c>
    </row>
    <row r="192" spans="1:28" ht="24.75">
      <c r="A192" s="38">
        <v>35927</v>
      </c>
      <c r="B192" s="39" t="s">
        <v>904</v>
      </c>
      <c r="C192" s="40" t="s">
        <v>875</v>
      </c>
      <c r="D192" s="40" t="s">
        <v>821</v>
      </c>
      <c r="E192" s="48"/>
      <c r="F192" s="48"/>
      <c r="G192" s="48"/>
      <c r="H192" s="48">
        <v>465</v>
      </c>
      <c r="I192" s="48">
        <v>93</v>
      </c>
      <c r="J192" s="48"/>
      <c r="K192" s="49">
        <v>12</v>
      </c>
      <c r="L192" s="49"/>
      <c r="M192" s="49"/>
      <c r="N192" s="49"/>
      <c r="O192" s="49"/>
      <c r="P192" s="49"/>
      <c r="Q192" s="49"/>
      <c r="R192" s="49"/>
      <c r="S192" s="49"/>
      <c r="T192" s="41"/>
      <c r="U192" s="42"/>
      <c r="V192" s="42">
        <v>2139000</v>
      </c>
      <c r="W192" s="42"/>
      <c r="X192" s="42">
        <v>4408000</v>
      </c>
      <c r="Y192" s="42"/>
      <c r="Z192" s="42"/>
      <c r="AA192" s="127">
        <f t="shared" si="2"/>
        <v>6547000</v>
      </c>
      <c r="AB192" s="43" t="s">
        <v>395</v>
      </c>
    </row>
    <row r="193" spans="1:28" ht="24.75">
      <c r="A193" s="38">
        <v>35930</v>
      </c>
      <c r="B193" s="39" t="s">
        <v>889</v>
      </c>
      <c r="C193" s="39" t="s">
        <v>317</v>
      </c>
      <c r="D193" s="40" t="s">
        <v>911</v>
      </c>
      <c r="E193" s="48"/>
      <c r="F193" s="48"/>
      <c r="G193" s="48"/>
      <c r="H193" s="48"/>
      <c r="I193" s="48"/>
      <c r="J193" s="48"/>
      <c r="K193" s="49"/>
      <c r="L193" s="49"/>
      <c r="M193" s="49"/>
      <c r="N193" s="49"/>
      <c r="O193" s="49"/>
      <c r="P193" s="49"/>
      <c r="Q193" s="49"/>
      <c r="R193" s="49"/>
      <c r="S193" s="49"/>
      <c r="T193" s="41" t="s">
        <v>94</v>
      </c>
      <c r="U193" s="42"/>
      <c r="V193" s="42"/>
      <c r="W193" s="42"/>
      <c r="X193" s="42"/>
      <c r="Y193" s="42"/>
      <c r="Z193" s="42"/>
      <c r="AA193" s="127">
        <f t="shared" si="2"/>
        <v>0</v>
      </c>
      <c r="AB193" s="43" t="s">
        <v>318</v>
      </c>
    </row>
    <row r="194" spans="1:28" ht="22.5">
      <c r="A194" s="38">
        <v>35932</v>
      </c>
      <c r="B194" s="39" t="s">
        <v>820</v>
      </c>
      <c r="C194" s="40" t="s">
        <v>184</v>
      </c>
      <c r="D194" s="40" t="s">
        <v>891</v>
      </c>
      <c r="E194" s="48"/>
      <c r="F194" s="48"/>
      <c r="G194" s="48"/>
      <c r="H194" s="48">
        <v>70</v>
      </c>
      <c r="I194" s="48">
        <v>20</v>
      </c>
      <c r="J194" s="48"/>
      <c r="K194" s="49"/>
      <c r="L194" s="49"/>
      <c r="M194" s="49"/>
      <c r="N194" s="49"/>
      <c r="O194" s="49"/>
      <c r="P194" s="49"/>
      <c r="Q194" s="49"/>
      <c r="R194" s="49"/>
      <c r="S194" s="49"/>
      <c r="T194" s="41"/>
      <c r="U194" s="42"/>
      <c r="V194" s="42"/>
      <c r="W194" s="42"/>
      <c r="X194" s="42"/>
      <c r="Y194" s="42"/>
      <c r="Z194" s="42"/>
      <c r="AA194" s="127">
        <f t="shared" si="2"/>
        <v>0</v>
      </c>
      <c r="AB194" s="43"/>
    </row>
    <row r="195" spans="1:28" ht="12.75">
      <c r="A195" s="38">
        <v>35932</v>
      </c>
      <c r="B195" s="39" t="s">
        <v>820</v>
      </c>
      <c r="C195" s="40" t="s">
        <v>193</v>
      </c>
      <c r="D195" s="40" t="s">
        <v>891</v>
      </c>
      <c r="E195" s="48">
        <v>3</v>
      </c>
      <c r="F195" s="48">
        <v>2</v>
      </c>
      <c r="G195" s="48"/>
      <c r="H195" s="48">
        <v>5</v>
      </c>
      <c r="I195" s="48">
        <v>1</v>
      </c>
      <c r="J195" s="48">
        <v>1</v>
      </c>
      <c r="K195" s="49"/>
      <c r="L195" s="49"/>
      <c r="M195" s="49"/>
      <c r="N195" s="49"/>
      <c r="O195" s="49"/>
      <c r="P195" s="49"/>
      <c r="Q195" s="49"/>
      <c r="R195" s="49"/>
      <c r="S195" s="49"/>
      <c r="T195" s="41"/>
      <c r="U195" s="42"/>
      <c r="V195" s="42"/>
      <c r="W195" s="42"/>
      <c r="X195" s="42"/>
      <c r="Y195" s="42"/>
      <c r="Z195" s="42"/>
      <c r="AA195" s="127">
        <f t="shared" si="2"/>
        <v>0</v>
      </c>
      <c r="AB195" s="43" t="s">
        <v>194</v>
      </c>
    </row>
    <row r="196" spans="1:28" ht="12.75">
      <c r="A196" s="38">
        <v>35932</v>
      </c>
      <c r="B196" s="39" t="s">
        <v>820</v>
      </c>
      <c r="C196" s="40" t="s">
        <v>195</v>
      </c>
      <c r="D196" s="40" t="s">
        <v>891</v>
      </c>
      <c r="E196" s="48">
        <v>3</v>
      </c>
      <c r="F196" s="48">
        <v>2</v>
      </c>
      <c r="G196" s="48"/>
      <c r="H196" s="48">
        <v>1</v>
      </c>
      <c r="I196" s="48">
        <v>1</v>
      </c>
      <c r="J196" s="48">
        <v>1</v>
      </c>
      <c r="K196" s="49"/>
      <c r="L196" s="49"/>
      <c r="M196" s="49"/>
      <c r="N196" s="49"/>
      <c r="O196" s="49"/>
      <c r="P196" s="49"/>
      <c r="Q196" s="49"/>
      <c r="R196" s="49"/>
      <c r="S196" s="49"/>
      <c r="T196" s="41"/>
      <c r="U196" s="42"/>
      <c r="V196" s="42"/>
      <c r="W196" s="42"/>
      <c r="X196" s="42"/>
      <c r="Y196" s="42"/>
      <c r="Z196" s="42"/>
      <c r="AA196" s="127">
        <f aca="true" t="shared" si="3" ref="AA196:AA259">+U196+V196+W196+X196+Y196+Z196</f>
        <v>0</v>
      </c>
      <c r="AB196" s="43" t="s">
        <v>196</v>
      </c>
    </row>
    <row r="197" spans="1:28" ht="22.5">
      <c r="A197" s="38">
        <v>35932</v>
      </c>
      <c r="B197" s="39" t="s">
        <v>820</v>
      </c>
      <c r="C197" s="40" t="s">
        <v>184</v>
      </c>
      <c r="D197" s="40" t="s">
        <v>821</v>
      </c>
      <c r="E197" s="48"/>
      <c r="F197" s="48"/>
      <c r="G197" s="48"/>
      <c r="H197" s="48">
        <v>35</v>
      </c>
      <c r="I197" s="48">
        <v>7</v>
      </c>
      <c r="J197" s="48"/>
      <c r="K197" s="49"/>
      <c r="L197" s="49"/>
      <c r="M197" s="49"/>
      <c r="N197" s="49"/>
      <c r="O197" s="49"/>
      <c r="P197" s="49"/>
      <c r="Q197" s="49"/>
      <c r="R197" s="49"/>
      <c r="S197" s="49"/>
      <c r="T197" s="41"/>
      <c r="U197" s="42"/>
      <c r="V197" s="42"/>
      <c r="W197" s="42"/>
      <c r="X197" s="42"/>
      <c r="Y197" s="42"/>
      <c r="Z197" s="42"/>
      <c r="AA197" s="127">
        <f t="shared" si="3"/>
        <v>0</v>
      </c>
      <c r="AB197" s="43"/>
    </row>
    <row r="198" spans="1:28" ht="12.75">
      <c r="A198" s="38">
        <v>35932</v>
      </c>
      <c r="B198" s="39" t="s">
        <v>820</v>
      </c>
      <c r="C198" s="40" t="s">
        <v>197</v>
      </c>
      <c r="D198" s="40" t="s">
        <v>821</v>
      </c>
      <c r="E198" s="48"/>
      <c r="F198" s="48"/>
      <c r="G198" s="48"/>
      <c r="H198" s="48">
        <v>425</v>
      </c>
      <c r="I198" s="48">
        <v>85</v>
      </c>
      <c r="J198" s="48"/>
      <c r="K198" s="49"/>
      <c r="L198" s="49"/>
      <c r="M198" s="49"/>
      <c r="N198" s="49"/>
      <c r="O198" s="49"/>
      <c r="P198" s="49"/>
      <c r="Q198" s="49"/>
      <c r="R198" s="49"/>
      <c r="S198" s="49"/>
      <c r="T198" s="41"/>
      <c r="U198" s="42"/>
      <c r="V198" s="42"/>
      <c r="W198" s="42"/>
      <c r="X198" s="42"/>
      <c r="Y198" s="42"/>
      <c r="Z198" s="42"/>
      <c r="AA198" s="127">
        <f t="shared" si="3"/>
        <v>0</v>
      </c>
      <c r="AB198" s="43" t="s">
        <v>198</v>
      </c>
    </row>
    <row r="199" spans="1:28" ht="12.75">
      <c r="A199" s="38">
        <v>35932</v>
      </c>
      <c r="B199" s="39" t="s">
        <v>820</v>
      </c>
      <c r="C199" s="40" t="s">
        <v>197</v>
      </c>
      <c r="D199" s="40" t="s">
        <v>821</v>
      </c>
      <c r="E199" s="48"/>
      <c r="F199" s="48"/>
      <c r="G199" s="48"/>
      <c r="H199" s="48">
        <v>550</v>
      </c>
      <c r="I199" s="48">
        <v>110</v>
      </c>
      <c r="J199" s="48"/>
      <c r="K199" s="49"/>
      <c r="L199" s="49"/>
      <c r="M199" s="49"/>
      <c r="N199" s="49"/>
      <c r="O199" s="49"/>
      <c r="P199" s="49"/>
      <c r="Q199" s="49"/>
      <c r="R199" s="49"/>
      <c r="S199" s="49"/>
      <c r="T199" s="41"/>
      <c r="U199" s="42"/>
      <c r="V199" s="42"/>
      <c r="W199" s="42"/>
      <c r="X199" s="42"/>
      <c r="Y199" s="42"/>
      <c r="Z199" s="42"/>
      <c r="AA199" s="127">
        <f t="shared" si="3"/>
        <v>0</v>
      </c>
      <c r="AB199" s="43"/>
    </row>
    <row r="200" spans="1:28" ht="12.75">
      <c r="A200" s="38">
        <v>35932</v>
      </c>
      <c r="B200" s="39" t="s">
        <v>820</v>
      </c>
      <c r="C200" s="40" t="s">
        <v>199</v>
      </c>
      <c r="D200" s="40" t="s">
        <v>821</v>
      </c>
      <c r="E200" s="48"/>
      <c r="F200" s="48"/>
      <c r="G200" s="48"/>
      <c r="H200" s="48">
        <v>125</v>
      </c>
      <c r="I200" s="48">
        <v>25</v>
      </c>
      <c r="J200" s="48"/>
      <c r="K200" s="49"/>
      <c r="L200" s="49"/>
      <c r="M200" s="49"/>
      <c r="N200" s="49"/>
      <c r="O200" s="49"/>
      <c r="P200" s="49"/>
      <c r="Q200" s="49"/>
      <c r="R200" s="49"/>
      <c r="S200" s="49"/>
      <c r="T200" s="41"/>
      <c r="U200" s="42"/>
      <c r="V200" s="42"/>
      <c r="W200" s="42"/>
      <c r="X200" s="42"/>
      <c r="Y200" s="42"/>
      <c r="Z200" s="42"/>
      <c r="AA200" s="127">
        <f t="shared" si="3"/>
        <v>0</v>
      </c>
      <c r="AB200" s="43"/>
    </row>
    <row r="201" spans="1:28" ht="41.25">
      <c r="A201" s="38">
        <v>35934</v>
      </c>
      <c r="B201" s="39" t="s">
        <v>13</v>
      </c>
      <c r="C201" s="40" t="s">
        <v>270</v>
      </c>
      <c r="D201" s="40" t="s">
        <v>821</v>
      </c>
      <c r="E201" s="48"/>
      <c r="F201" s="48"/>
      <c r="G201" s="48"/>
      <c r="H201" s="48">
        <v>340</v>
      </c>
      <c r="I201" s="48">
        <v>80</v>
      </c>
      <c r="J201" s="48"/>
      <c r="K201" s="49">
        <v>80</v>
      </c>
      <c r="L201" s="49">
        <v>1</v>
      </c>
      <c r="M201" s="49"/>
      <c r="N201" s="49"/>
      <c r="O201" s="49"/>
      <c r="P201" s="49"/>
      <c r="Q201" s="49"/>
      <c r="R201" s="49"/>
      <c r="S201" s="49"/>
      <c r="T201" s="41" t="s">
        <v>271</v>
      </c>
      <c r="U201" s="42">
        <v>12242160</v>
      </c>
      <c r="V201" s="42">
        <v>1840000</v>
      </c>
      <c r="W201" s="42"/>
      <c r="X201" s="42"/>
      <c r="Y201" s="42"/>
      <c r="Z201" s="42"/>
      <c r="AA201" s="127">
        <f t="shared" si="3"/>
        <v>14082160</v>
      </c>
      <c r="AB201" s="43" t="s">
        <v>272</v>
      </c>
    </row>
    <row r="202" spans="1:28" ht="12.75">
      <c r="A202" s="38">
        <v>35936</v>
      </c>
      <c r="B202" s="39" t="s">
        <v>77</v>
      </c>
      <c r="C202" s="40" t="s">
        <v>875</v>
      </c>
      <c r="D202" s="40" t="s">
        <v>821</v>
      </c>
      <c r="E202" s="48"/>
      <c r="F202" s="48"/>
      <c r="G202" s="48"/>
      <c r="H202" s="48"/>
      <c r="I202" s="48"/>
      <c r="J202" s="48"/>
      <c r="K202" s="49"/>
      <c r="L202" s="49"/>
      <c r="M202" s="49"/>
      <c r="N202" s="49"/>
      <c r="O202" s="49"/>
      <c r="P202" s="49"/>
      <c r="Q202" s="49"/>
      <c r="R202" s="49"/>
      <c r="S202" s="49"/>
      <c r="T202" s="41"/>
      <c r="U202" s="42">
        <v>12302829.93</v>
      </c>
      <c r="V202" s="42">
        <v>11500000</v>
      </c>
      <c r="W202" s="42"/>
      <c r="X202" s="42"/>
      <c r="Y202" s="42"/>
      <c r="Z202" s="42">
        <v>1000000</v>
      </c>
      <c r="AA202" s="127">
        <f t="shared" si="3"/>
        <v>24802829.93</v>
      </c>
      <c r="AB202" s="43" t="s">
        <v>298</v>
      </c>
    </row>
    <row r="203" spans="1:29" ht="12.75">
      <c r="A203" s="38">
        <v>35937</v>
      </c>
      <c r="B203" s="39" t="s">
        <v>877</v>
      </c>
      <c r="C203" s="40" t="s">
        <v>283</v>
      </c>
      <c r="D203" s="40" t="s">
        <v>36</v>
      </c>
      <c r="E203" s="48">
        <v>2</v>
      </c>
      <c r="F203" s="48"/>
      <c r="G203" s="48"/>
      <c r="H203" s="48">
        <v>32</v>
      </c>
      <c r="I203" s="48"/>
      <c r="J203" s="48"/>
      <c r="K203" s="49"/>
      <c r="L203" s="49"/>
      <c r="M203" s="49"/>
      <c r="N203" s="49"/>
      <c r="O203" s="49"/>
      <c r="P203" s="49"/>
      <c r="Q203" s="49"/>
      <c r="R203" s="49"/>
      <c r="S203" s="49"/>
      <c r="T203" s="41"/>
      <c r="U203" s="42"/>
      <c r="V203" s="42"/>
      <c r="W203" s="42"/>
      <c r="X203" s="42"/>
      <c r="Y203" s="42"/>
      <c r="Z203" s="42"/>
      <c r="AA203" s="127">
        <f t="shared" si="3"/>
        <v>0</v>
      </c>
      <c r="AB203" s="43" t="s">
        <v>284</v>
      </c>
      <c r="AC203" s="4" t="s">
        <v>594</v>
      </c>
    </row>
    <row r="204" spans="1:28" ht="12.75">
      <c r="A204" s="38">
        <v>35940</v>
      </c>
      <c r="B204" s="39" t="s">
        <v>904</v>
      </c>
      <c r="C204" s="40" t="s">
        <v>396</v>
      </c>
      <c r="D204" s="40" t="s">
        <v>821</v>
      </c>
      <c r="E204" s="48"/>
      <c r="F204" s="48"/>
      <c r="G204" s="48"/>
      <c r="H204" s="48">
        <v>250</v>
      </c>
      <c r="I204" s="48">
        <v>50</v>
      </c>
      <c r="J204" s="48"/>
      <c r="K204" s="49"/>
      <c r="L204" s="49"/>
      <c r="M204" s="49"/>
      <c r="N204" s="49"/>
      <c r="O204" s="49"/>
      <c r="P204" s="49"/>
      <c r="Q204" s="49"/>
      <c r="R204" s="49"/>
      <c r="S204" s="49"/>
      <c r="T204" s="41"/>
      <c r="U204" s="42"/>
      <c r="V204" s="42">
        <v>1150000</v>
      </c>
      <c r="W204" s="42"/>
      <c r="X204" s="42"/>
      <c r="Y204" s="42"/>
      <c r="Z204" s="42"/>
      <c r="AA204" s="127">
        <f t="shared" si="3"/>
        <v>1150000</v>
      </c>
      <c r="AB204" s="43" t="s">
        <v>397</v>
      </c>
    </row>
    <row r="205" spans="1:28" ht="12.75">
      <c r="A205" s="38">
        <v>35941</v>
      </c>
      <c r="B205" s="39" t="s">
        <v>820</v>
      </c>
      <c r="C205" s="40" t="s">
        <v>908</v>
      </c>
      <c r="D205" s="40" t="s">
        <v>891</v>
      </c>
      <c r="E205" s="48"/>
      <c r="F205" s="48"/>
      <c r="G205" s="48"/>
      <c r="H205" s="48">
        <v>49</v>
      </c>
      <c r="I205" s="48">
        <v>10</v>
      </c>
      <c r="J205" s="48"/>
      <c r="K205" s="49"/>
      <c r="L205" s="49"/>
      <c r="M205" s="49"/>
      <c r="N205" s="49"/>
      <c r="O205" s="49"/>
      <c r="P205" s="49"/>
      <c r="Q205" s="49"/>
      <c r="R205" s="49"/>
      <c r="S205" s="49"/>
      <c r="T205" s="41"/>
      <c r="U205" s="42"/>
      <c r="V205" s="42"/>
      <c r="W205" s="42"/>
      <c r="X205" s="42"/>
      <c r="Y205" s="42"/>
      <c r="Z205" s="42"/>
      <c r="AA205" s="127">
        <f t="shared" si="3"/>
        <v>0</v>
      </c>
      <c r="AB205" s="43"/>
    </row>
    <row r="206" spans="1:28" ht="33">
      <c r="A206" s="38">
        <v>35941</v>
      </c>
      <c r="B206" s="39" t="s">
        <v>877</v>
      </c>
      <c r="C206" s="40" t="s">
        <v>285</v>
      </c>
      <c r="D206" s="40" t="s">
        <v>821</v>
      </c>
      <c r="E206" s="48">
        <v>1</v>
      </c>
      <c r="F206" s="48"/>
      <c r="G206" s="48"/>
      <c r="H206" s="48">
        <v>390</v>
      </c>
      <c r="I206" s="48">
        <v>78</v>
      </c>
      <c r="J206" s="48"/>
      <c r="K206" s="49"/>
      <c r="L206" s="49"/>
      <c r="M206" s="49"/>
      <c r="N206" s="49">
        <v>2</v>
      </c>
      <c r="O206" s="49"/>
      <c r="P206" s="49"/>
      <c r="Q206" s="49"/>
      <c r="R206" s="49"/>
      <c r="S206" s="49"/>
      <c r="T206" s="41"/>
      <c r="U206" s="42"/>
      <c r="V206" s="42"/>
      <c r="W206" s="42"/>
      <c r="X206" s="42"/>
      <c r="Y206" s="42"/>
      <c r="Z206" s="42"/>
      <c r="AA206" s="127">
        <f t="shared" si="3"/>
        <v>0</v>
      </c>
      <c r="AB206" s="43" t="s">
        <v>286</v>
      </c>
    </row>
    <row r="207" spans="1:28" ht="24.75">
      <c r="A207" s="38">
        <v>35942</v>
      </c>
      <c r="B207" s="39" t="s">
        <v>877</v>
      </c>
      <c r="C207" s="40" t="s">
        <v>875</v>
      </c>
      <c r="D207" s="40" t="s">
        <v>821</v>
      </c>
      <c r="E207" s="48"/>
      <c r="F207" s="48"/>
      <c r="G207" s="48"/>
      <c r="H207" s="48"/>
      <c r="I207" s="48"/>
      <c r="J207" s="48"/>
      <c r="K207" s="49"/>
      <c r="L207" s="49"/>
      <c r="M207" s="49"/>
      <c r="N207" s="49"/>
      <c r="O207" s="49"/>
      <c r="P207" s="49"/>
      <c r="Q207" s="49"/>
      <c r="R207" s="49"/>
      <c r="S207" s="49"/>
      <c r="T207" s="41"/>
      <c r="U207" s="42"/>
      <c r="V207" s="42"/>
      <c r="W207" s="42"/>
      <c r="X207" s="42"/>
      <c r="Y207" s="42"/>
      <c r="Z207" s="42"/>
      <c r="AA207" s="127">
        <f t="shared" si="3"/>
        <v>0</v>
      </c>
      <c r="AB207" s="43" t="s">
        <v>287</v>
      </c>
    </row>
    <row r="208" spans="1:28" ht="22.5">
      <c r="A208" s="38">
        <v>35943</v>
      </c>
      <c r="B208" s="39" t="s">
        <v>889</v>
      </c>
      <c r="C208" s="40" t="s">
        <v>495</v>
      </c>
      <c r="D208" s="40" t="s">
        <v>911</v>
      </c>
      <c r="E208" s="48"/>
      <c r="F208" s="48"/>
      <c r="G208" s="48"/>
      <c r="H208" s="48"/>
      <c r="I208" s="48"/>
      <c r="J208" s="48"/>
      <c r="K208" s="49"/>
      <c r="L208" s="49"/>
      <c r="M208" s="49"/>
      <c r="N208" s="49"/>
      <c r="O208" s="49"/>
      <c r="P208" s="49"/>
      <c r="Q208" s="49"/>
      <c r="R208" s="49"/>
      <c r="S208" s="49"/>
      <c r="T208" s="41"/>
      <c r="U208" s="42"/>
      <c r="V208" s="42"/>
      <c r="W208" s="42">
        <v>6883440</v>
      </c>
      <c r="X208" s="42"/>
      <c r="Y208" s="42"/>
      <c r="Z208" s="42"/>
      <c r="AA208" s="127">
        <f t="shared" si="3"/>
        <v>6883440</v>
      </c>
      <c r="AB208" s="43"/>
    </row>
    <row r="209" spans="1:28" ht="12.75">
      <c r="A209" s="38">
        <v>35944</v>
      </c>
      <c r="B209" s="39" t="s">
        <v>820</v>
      </c>
      <c r="C209" s="40" t="s">
        <v>202</v>
      </c>
      <c r="D209" s="40" t="s">
        <v>891</v>
      </c>
      <c r="E209" s="48"/>
      <c r="F209" s="48">
        <v>3</v>
      </c>
      <c r="G209" s="48"/>
      <c r="H209" s="48"/>
      <c r="I209" s="48"/>
      <c r="J209" s="48"/>
      <c r="K209" s="49"/>
      <c r="L209" s="49"/>
      <c r="M209" s="49"/>
      <c r="N209" s="49"/>
      <c r="O209" s="49"/>
      <c r="P209" s="49"/>
      <c r="Q209" s="49"/>
      <c r="R209" s="49"/>
      <c r="S209" s="49"/>
      <c r="T209" s="41"/>
      <c r="U209" s="42"/>
      <c r="V209" s="42"/>
      <c r="W209" s="42"/>
      <c r="X209" s="42"/>
      <c r="Y209" s="42"/>
      <c r="Z209" s="42"/>
      <c r="AA209" s="127">
        <f t="shared" si="3"/>
        <v>0</v>
      </c>
      <c r="AB209" s="43"/>
    </row>
    <row r="210" spans="1:28" ht="12.75">
      <c r="A210" s="38">
        <v>35944</v>
      </c>
      <c r="B210" s="39" t="s">
        <v>820</v>
      </c>
      <c r="C210" s="40" t="s">
        <v>195</v>
      </c>
      <c r="D210" s="40" t="s">
        <v>821</v>
      </c>
      <c r="E210" s="48"/>
      <c r="F210" s="48"/>
      <c r="G210" s="48"/>
      <c r="H210" s="48">
        <v>230</v>
      </c>
      <c r="I210" s="48">
        <v>45</v>
      </c>
      <c r="J210" s="48"/>
      <c r="K210" s="49"/>
      <c r="L210" s="49"/>
      <c r="M210" s="49"/>
      <c r="N210" s="49"/>
      <c r="O210" s="49"/>
      <c r="P210" s="49"/>
      <c r="Q210" s="49"/>
      <c r="R210" s="49"/>
      <c r="S210" s="49"/>
      <c r="T210" s="41"/>
      <c r="U210" s="42"/>
      <c r="V210" s="42"/>
      <c r="W210" s="42"/>
      <c r="X210" s="42"/>
      <c r="Y210" s="42"/>
      <c r="Z210" s="42"/>
      <c r="AA210" s="127">
        <f t="shared" si="3"/>
        <v>0</v>
      </c>
      <c r="AB210" s="43" t="s">
        <v>200</v>
      </c>
    </row>
    <row r="211" spans="1:28" ht="12.75">
      <c r="A211" s="38">
        <v>35944</v>
      </c>
      <c r="B211" s="39" t="s">
        <v>820</v>
      </c>
      <c r="C211" s="40" t="s">
        <v>201</v>
      </c>
      <c r="D211" s="40" t="s">
        <v>821</v>
      </c>
      <c r="E211" s="48"/>
      <c r="F211" s="48"/>
      <c r="G211" s="48"/>
      <c r="H211" s="48">
        <v>42</v>
      </c>
      <c r="I211" s="48">
        <v>12</v>
      </c>
      <c r="J211" s="48"/>
      <c r="K211" s="49"/>
      <c r="L211" s="49"/>
      <c r="M211" s="49"/>
      <c r="N211" s="49"/>
      <c r="O211" s="49"/>
      <c r="P211" s="49"/>
      <c r="Q211" s="49"/>
      <c r="R211" s="49"/>
      <c r="S211" s="49"/>
      <c r="T211" s="41"/>
      <c r="U211" s="42"/>
      <c r="V211" s="42"/>
      <c r="W211" s="42"/>
      <c r="X211" s="42"/>
      <c r="Y211" s="42"/>
      <c r="Z211" s="42"/>
      <c r="AA211" s="127">
        <f t="shared" si="3"/>
        <v>0</v>
      </c>
      <c r="AB211" s="43"/>
    </row>
    <row r="212" spans="1:28" ht="12.75">
      <c r="A212" s="38">
        <v>35944</v>
      </c>
      <c r="B212" s="39" t="s">
        <v>366</v>
      </c>
      <c r="C212" s="40" t="s">
        <v>369</v>
      </c>
      <c r="D212" s="40" t="s">
        <v>821</v>
      </c>
      <c r="E212" s="48"/>
      <c r="F212" s="48">
        <v>4</v>
      </c>
      <c r="G212" s="48"/>
      <c r="H212" s="48">
        <v>1665</v>
      </c>
      <c r="I212" s="48">
        <v>387</v>
      </c>
      <c r="J212" s="48"/>
      <c r="K212" s="49"/>
      <c r="L212" s="49"/>
      <c r="M212" s="49"/>
      <c r="N212" s="49"/>
      <c r="O212" s="49"/>
      <c r="P212" s="49"/>
      <c r="Q212" s="49"/>
      <c r="R212" s="49"/>
      <c r="S212" s="49"/>
      <c r="T212" s="41"/>
      <c r="U212" s="42">
        <v>23840584.8</v>
      </c>
      <c r="V212" s="42">
        <v>8878000</v>
      </c>
      <c r="W212" s="42"/>
      <c r="X212" s="42"/>
      <c r="Y212" s="42"/>
      <c r="Z212" s="42"/>
      <c r="AA212" s="127">
        <f t="shared" si="3"/>
        <v>32718584.8</v>
      </c>
      <c r="AB212" s="43" t="s">
        <v>370</v>
      </c>
    </row>
    <row r="213" spans="1:29" ht="12.75">
      <c r="A213" s="38">
        <v>35944</v>
      </c>
      <c r="B213" s="39" t="s">
        <v>366</v>
      </c>
      <c r="C213" s="40" t="s">
        <v>367</v>
      </c>
      <c r="D213" s="40" t="s">
        <v>821</v>
      </c>
      <c r="E213" s="48"/>
      <c r="F213" s="48"/>
      <c r="G213" s="48"/>
      <c r="H213" s="48">
        <v>81</v>
      </c>
      <c r="I213" s="48">
        <v>20</v>
      </c>
      <c r="J213" s="48"/>
      <c r="K213" s="49"/>
      <c r="L213" s="49"/>
      <c r="M213" s="49"/>
      <c r="N213" s="49"/>
      <c r="O213" s="49"/>
      <c r="P213" s="49"/>
      <c r="Q213" s="49"/>
      <c r="R213" s="49"/>
      <c r="S213" s="49"/>
      <c r="T213" s="41"/>
      <c r="U213" s="42">
        <v>1189808</v>
      </c>
      <c r="V213" s="42">
        <v>460000</v>
      </c>
      <c r="W213" s="42"/>
      <c r="X213" s="42"/>
      <c r="Y213" s="42"/>
      <c r="Z213" s="42"/>
      <c r="AA213" s="127">
        <f t="shared" si="3"/>
        <v>1649808</v>
      </c>
      <c r="AB213" s="43" t="s">
        <v>371</v>
      </c>
      <c r="AC213" s="4" t="s">
        <v>594</v>
      </c>
    </row>
    <row r="214" spans="1:29" ht="12.75">
      <c r="A214" s="38">
        <v>35944</v>
      </c>
      <c r="B214" s="39" t="s">
        <v>366</v>
      </c>
      <c r="C214" s="40" t="s">
        <v>372</v>
      </c>
      <c r="D214" s="40" t="s">
        <v>821</v>
      </c>
      <c r="E214" s="48"/>
      <c r="F214" s="48"/>
      <c r="G214" s="48"/>
      <c r="H214" s="48">
        <v>66</v>
      </c>
      <c r="I214" s="48">
        <v>12</v>
      </c>
      <c r="J214" s="48"/>
      <c r="K214" s="49"/>
      <c r="L214" s="49"/>
      <c r="M214" s="49"/>
      <c r="N214" s="49"/>
      <c r="O214" s="49"/>
      <c r="P214" s="49"/>
      <c r="Q214" s="49"/>
      <c r="R214" s="49"/>
      <c r="S214" s="49"/>
      <c r="T214" s="41"/>
      <c r="U214" s="42">
        <v>89467.2</v>
      </c>
      <c r="V214" s="42">
        <v>276000</v>
      </c>
      <c r="W214" s="42"/>
      <c r="X214" s="42"/>
      <c r="Y214" s="42"/>
      <c r="Z214" s="42"/>
      <c r="AA214" s="127">
        <f t="shared" si="3"/>
        <v>365467.2</v>
      </c>
      <c r="AB214" s="43"/>
      <c r="AC214" s="4" t="s">
        <v>594</v>
      </c>
    </row>
    <row r="215" spans="1:28" ht="16.5">
      <c r="A215" s="38">
        <v>35944</v>
      </c>
      <c r="B215" s="39" t="s">
        <v>100</v>
      </c>
      <c r="C215" s="40" t="s">
        <v>398</v>
      </c>
      <c r="D215" s="40" t="s">
        <v>821</v>
      </c>
      <c r="E215" s="48"/>
      <c r="F215" s="48"/>
      <c r="G215" s="48"/>
      <c r="H215" s="48">
        <v>1725</v>
      </c>
      <c r="I215" s="48">
        <v>345</v>
      </c>
      <c r="J215" s="48">
        <v>10</v>
      </c>
      <c r="K215" s="49"/>
      <c r="L215" s="49"/>
      <c r="M215" s="49">
        <v>1</v>
      </c>
      <c r="N215" s="49"/>
      <c r="O215" s="49"/>
      <c r="P215" s="49"/>
      <c r="Q215" s="49"/>
      <c r="R215" s="49"/>
      <c r="S215" s="49"/>
      <c r="T215" s="41" t="s">
        <v>400</v>
      </c>
      <c r="U215" s="42">
        <v>26539877.1</v>
      </c>
      <c r="V215" s="42">
        <v>8050000</v>
      </c>
      <c r="W215" s="42">
        <v>10328640</v>
      </c>
      <c r="X215" s="42"/>
      <c r="Y215" s="42"/>
      <c r="Z215" s="42"/>
      <c r="AA215" s="127">
        <f t="shared" si="3"/>
        <v>44918517.1</v>
      </c>
      <c r="AB215" s="43" t="s">
        <v>399</v>
      </c>
    </row>
    <row r="216" spans="1:28" ht="16.5">
      <c r="A216" s="38">
        <v>35944</v>
      </c>
      <c r="B216" s="39" t="s">
        <v>100</v>
      </c>
      <c r="C216" s="40" t="s">
        <v>401</v>
      </c>
      <c r="D216" s="40" t="s">
        <v>821</v>
      </c>
      <c r="E216" s="48"/>
      <c r="F216" s="48"/>
      <c r="G216" s="48"/>
      <c r="H216" s="48"/>
      <c r="I216" s="48"/>
      <c r="J216" s="48"/>
      <c r="K216" s="49"/>
      <c r="L216" s="49"/>
      <c r="M216" s="49"/>
      <c r="N216" s="49"/>
      <c r="O216" s="49"/>
      <c r="P216" s="49"/>
      <c r="Q216" s="49"/>
      <c r="R216" s="49"/>
      <c r="S216" s="49"/>
      <c r="T216" s="41"/>
      <c r="U216" s="42"/>
      <c r="V216" s="42"/>
      <c r="W216" s="42"/>
      <c r="X216" s="42"/>
      <c r="Y216" s="42"/>
      <c r="Z216" s="42"/>
      <c r="AA216" s="127">
        <f t="shared" si="3"/>
        <v>0</v>
      </c>
      <c r="AB216" s="43" t="s">
        <v>402</v>
      </c>
    </row>
    <row r="217" spans="1:28" ht="16.5">
      <c r="A217" s="38">
        <v>35944</v>
      </c>
      <c r="B217" s="39" t="s">
        <v>100</v>
      </c>
      <c r="C217" s="40" t="s">
        <v>403</v>
      </c>
      <c r="D217" s="40" t="s">
        <v>821</v>
      </c>
      <c r="E217" s="48"/>
      <c r="F217" s="48"/>
      <c r="G217" s="48"/>
      <c r="H217" s="48">
        <v>26</v>
      </c>
      <c r="I217" s="48">
        <v>5</v>
      </c>
      <c r="J217" s="48"/>
      <c r="K217" s="49">
        <v>5</v>
      </c>
      <c r="L217" s="49">
        <v>1</v>
      </c>
      <c r="M217" s="49"/>
      <c r="N217" s="49"/>
      <c r="O217" s="49"/>
      <c r="P217" s="49"/>
      <c r="Q217" s="49"/>
      <c r="R217" s="49"/>
      <c r="S217" s="49"/>
      <c r="T217" s="41"/>
      <c r="U217" s="42"/>
      <c r="V217" s="42"/>
      <c r="W217" s="42"/>
      <c r="X217" s="42"/>
      <c r="Y217" s="42"/>
      <c r="Z217" s="42"/>
      <c r="AA217" s="127">
        <f t="shared" si="3"/>
        <v>0</v>
      </c>
      <c r="AB217" s="43" t="s">
        <v>409</v>
      </c>
    </row>
    <row r="218" spans="1:28" ht="12.75">
      <c r="A218" s="38">
        <v>35944</v>
      </c>
      <c r="B218" s="39" t="s">
        <v>100</v>
      </c>
      <c r="C218" s="40" t="s">
        <v>410</v>
      </c>
      <c r="D218" s="40" t="s">
        <v>821</v>
      </c>
      <c r="E218" s="48"/>
      <c r="F218" s="48"/>
      <c r="G218" s="48"/>
      <c r="H218" s="48"/>
      <c r="I218" s="48"/>
      <c r="J218" s="48"/>
      <c r="K218" s="49"/>
      <c r="L218" s="49"/>
      <c r="M218" s="49"/>
      <c r="N218" s="49"/>
      <c r="O218" s="49">
        <v>1</v>
      </c>
      <c r="P218" s="49"/>
      <c r="Q218" s="49"/>
      <c r="R218" s="49"/>
      <c r="S218" s="49"/>
      <c r="T218" s="41"/>
      <c r="U218" s="42"/>
      <c r="V218" s="42"/>
      <c r="W218" s="42"/>
      <c r="X218" s="42"/>
      <c r="Y218" s="42"/>
      <c r="Z218" s="42"/>
      <c r="AA218" s="127">
        <f t="shared" si="3"/>
        <v>0</v>
      </c>
      <c r="AB218" s="43" t="s">
        <v>411</v>
      </c>
    </row>
    <row r="219" spans="1:28" ht="12.75">
      <c r="A219" s="38">
        <v>35944</v>
      </c>
      <c r="B219" s="39" t="s">
        <v>100</v>
      </c>
      <c r="C219" s="40" t="s">
        <v>412</v>
      </c>
      <c r="D219" s="40" t="s">
        <v>821</v>
      </c>
      <c r="E219" s="48"/>
      <c r="F219" s="48"/>
      <c r="G219" s="48"/>
      <c r="H219" s="48"/>
      <c r="I219" s="48"/>
      <c r="J219" s="48"/>
      <c r="K219" s="49"/>
      <c r="L219" s="49"/>
      <c r="M219" s="49">
        <v>1</v>
      </c>
      <c r="N219" s="49"/>
      <c r="O219" s="49"/>
      <c r="P219" s="49"/>
      <c r="Q219" s="49"/>
      <c r="R219" s="49"/>
      <c r="S219" s="49"/>
      <c r="T219" s="41"/>
      <c r="U219" s="42"/>
      <c r="V219" s="42"/>
      <c r="W219" s="42"/>
      <c r="X219" s="42"/>
      <c r="Y219" s="42"/>
      <c r="Z219" s="42"/>
      <c r="AA219" s="127">
        <f t="shared" si="3"/>
        <v>0</v>
      </c>
      <c r="AB219" s="43"/>
    </row>
    <row r="220" spans="1:28" ht="12.75">
      <c r="A220" s="38">
        <v>35944</v>
      </c>
      <c r="B220" s="39" t="s">
        <v>100</v>
      </c>
      <c r="C220" s="40" t="s">
        <v>413</v>
      </c>
      <c r="D220" s="40" t="s">
        <v>821</v>
      </c>
      <c r="E220" s="48"/>
      <c r="F220" s="48"/>
      <c r="G220" s="48"/>
      <c r="H220" s="48"/>
      <c r="I220" s="48"/>
      <c r="J220" s="48"/>
      <c r="K220" s="49"/>
      <c r="L220" s="49"/>
      <c r="M220" s="49"/>
      <c r="N220" s="49"/>
      <c r="O220" s="49">
        <v>1</v>
      </c>
      <c r="P220" s="49"/>
      <c r="Q220" s="49"/>
      <c r="R220" s="49"/>
      <c r="S220" s="49"/>
      <c r="T220" s="41"/>
      <c r="U220" s="42"/>
      <c r="V220" s="42"/>
      <c r="W220" s="42"/>
      <c r="X220" s="42"/>
      <c r="Y220" s="42"/>
      <c r="Z220" s="42"/>
      <c r="AA220" s="127">
        <f t="shared" si="3"/>
        <v>0</v>
      </c>
      <c r="AB220" s="43"/>
    </row>
    <row r="221" spans="1:28" ht="12.75">
      <c r="A221" s="38">
        <v>35944</v>
      </c>
      <c r="B221" s="39" t="s">
        <v>100</v>
      </c>
      <c r="C221" s="40" t="s">
        <v>875</v>
      </c>
      <c r="D221" s="40" t="s">
        <v>821</v>
      </c>
      <c r="E221" s="48"/>
      <c r="F221" s="48"/>
      <c r="G221" s="48"/>
      <c r="H221" s="48"/>
      <c r="I221" s="48"/>
      <c r="J221" s="48"/>
      <c r="K221" s="49"/>
      <c r="L221" s="49"/>
      <c r="M221" s="49"/>
      <c r="N221" s="49"/>
      <c r="O221" s="49"/>
      <c r="P221" s="49"/>
      <c r="Q221" s="49"/>
      <c r="R221" s="49"/>
      <c r="S221" s="49"/>
      <c r="T221" s="41"/>
      <c r="U221" s="42"/>
      <c r="V221" s="42">
        <v>9200000</v>
      </c>
      <c r="W221" s="42"/>
      <c r="X221" s="42"/>
      <c r="Y221" s="42"/>
      <c r="Z221" s="42"/>
      <c r="AA221" s="127">
        <f t="shared" si="3"/>
        <v>9200000</v>
      </c>
      <c r="AB221" s="43" t="s">
        <v>414</v>
      </c>
    </row>
    <row r="222" spans="1:28" ht="12.75">
      <c r="A222" s="38">
        <v>35946</v>
      </c>
      <c r="B222" s="39" t="s">
        <v>49</v>
      </c>
      <c r="C222" s="40" t="s">
        <v>425</v>
      </c>
      <c r="D222" s="40" t="s">
        <v>821</v>
      </c>
      <c r="E222" s="48"/>
      <c r="F222" s="48"/>
      <c r="G222" s="48"/>
      <c r="H222" s="48">
        <v>275</v>
      </c>
      <c r="I222" s="48">
        <v>55</v>
      </c>
      <c r="J222" s="48"/>
      <c r="K222" s="49">
        <v>55</v>
      </c>
      <c r="L222" s="49">
        <v>2</v>
      </c>
      <c r="M222" s="49"/>
      <c r="N222" s="49"/>
      <c r="O222" s="49">
        <v>2</v>
      </c>
      <c r="P222" s="49"/>
      <c r="Q222" s="49"/>
      <c r="R222" s="49"/>
      <c r="S222" s="49"/>
      <c r="T222" s="41"/>
      <c r="U222" s="42"/>
      <c r="V222" s="42"/>
      <c r="W222" s="42"/>
      <c r="X222" s="42"/>
      <c r="Y222" s="42"/>
      <c r="Z222" s="42"/>
      <c r="AA222" s="127">
        <f t="shared" si="3"/>
        <v>0</v>
      </c>
      <c r="AB222" s="43" t="s">
        <v>428</v>
      </c>
    </row>
    <row r="223" spans="1:28" ht="12.75">
      <c r="A223" s="38">
        <v>35946</v>
      </c>
      <c r="B223" s="39" t="s">
        <v>49</v>
      </c>
      <c r="C223" s="40" t="s">
        <v>426</v>
      </c>
      <c r="D223" s="40" t="s">
        <v>821</v>
      </c>
      <c r="E223" s="48"/>
      <c r="F223" s="48"/>
      <c r="G223" s="48"/>
      <c r="H223" s="48">
        <v>50</v>
      </c>
      <c r="I223" s="48">
        <v>10</v>
      </c>
      <c r="J223" s="48"/>
      <c r="K223" s="49"/>
      <c r="L223" s="49"/>
      <c r="M223" s="49"/>
      <c r="N223" s="49"/>
      <c r="O223" s="49"/>
      <c r="P223" s="49"/>
      <c r="Q223" s="49"/>
      <c r="R223" s="49"/>
      <c r="S223" s="49"/>
      <c r="T223" s="41"/>
      <c r="U223" s="42"/>
      <c r="V223" s="42"/>
      <c r="W223" s="42"/>
      <c r="X223" s="42"/>
      <c r="Y223" s="42"/>
      <c r="Z223" s="42"/>
      <c r="AA223" s="127">
        <f t="shared" si="3"/>
        <v>0</v>
      </c>
      <c r="AB223" s="43"/>
    </row>
    <row r="224" spans="1:28" ht="12.75">
      <c r="A224" s="38">
        <v>35946</v>
      </c>
      <c r="B224" s="39" t="s">
        <v>49</v>
      </c>
      <c r="C224" s="40" t="s">
        <v>427</v>
      </c>
      <c r="D224" s="40" t="s">
        <v>821</v>
      </c>
      <c r="E224" s="48"/>
      <c r="F224" s="48"/>
      <c r="G224" s="48"/>
      <c r="H224" s="48">
        <v>150</v>
      </c>
      <c r="I224" s="48">
        <v>30</v>
      </c>
      <c r="J224" s="48"/>
      <c r="K224" s="49"/>
      <c r="L224" s="49"/>
      <c r="M224" s="49"/>
      <c r="N224" s="49"/>
      <c r="O224" s="49"/>
      <c r="P224" s="49"/>
      <c r="Q224" s="49"/>
      <c r="R224" s="49"/>
      <c r="S224" s="49"/>
      <c r="T224" s="41"/>
      <c r="U224" s="42"/>
      <c r="V224" s="42"/>
      <c r="W224" s="42"/>
      <c r="X224" s="42"/>
      <c r="Y224" s="42"/>
      <c r="Z224" s="42"/>
      <c r="AA224" s="127">
        <f t="shared" si="3"/>
        <v>0</v>
      </c>
      <c r="AB224" s="43" t="s">
        <v>429</v>
      </c>
    </row>
    <row r="225" spans="1:28" ht="24.75">
      <c r="A225" s="38">
        <v>35947</v>
      </c>
      <c r="B225" s="39" t="s">
        <v>16</v>
      </c>
      <c r="C225" s="40" t="s">
        <v>461</v>
      </c>
      <c r="D225" s="40" t="s">
        <v>107</v>
      </c>
      <c r="E225" s="48"/>
      <c r="F225" s="48"/>
      <c r="G225" s="48"/>
      <c r="H225" s="48"/>
      <c r="I225" s="48"/>
      <c r="J225" s="48"/>
      <c r="K225" s="49"/>
      <c r="L225" s="49">
        <v>1</v>
      </c>
      <c r="M225" s="49">
        <v>1</v>
      </c>
      <c r="N225" s="49"/>
      <c r="O225" s="49">
        <v>1</v>
      </c>
      <c r="P225" s="49"/>
      <c r="Q225" s="49"/>
      <c r="R225" s="49"/>
      <c r="S225" s="49"/>
      <c r="T225" s="41" t="s">
        <v>462</v>
      </c>
      <c r="U225" s="42"/>
      <c r="V225" s="42"/>
      <c r="W225" s="42"/>
      <c r="X225" s="42"/>
      <c r="Y225" s="42"/>
      <c r="Z225" s="42"/>
      <c r="AA225" s="127">
        <f t="shared" si="3"/>
        <v>0</v>
      </c>
      <c r="AB225" s="43" t="s">
        <v>463</v>
      </c>
    </row>
    <row r="226" spans="1:28" ht="24.75">
      <c r="A226" s="38">
        <v>35947</v>
      </c>
      <c r="B226" s="39" t="s">
        <v>882</v>
      </c>
      <c r="C226" s="40" t="s">
        <v>305</v>
      </c>
      <c r="D226" s="40" t="s">
        <v>821</v>
      </c>
      <c r="E226" s="48"/>
      <c r="F226" s="48"/>
      <c r="G226" s="48"/>
      <c r="H226" s="48">
        <v>1295</v>
      </c>
      <c r="I226" s="48">
        <v>259</v>
      </c>
      <c r="J226" s="48">
        <v>2</v>
      </c>
      <c r="K226" s="49">
        <v>2</v>
      </c>
      <c r="L226" s="49">
        <v>2</v>
      </c>
      <c r="M226" s="49">
        <v>2</v>
      </c>
      <c r="N226" s="49"/>
      <c r="O226" s="49"/>
      <c r="P226" s="49"/>
      <c r="Q226" s="49"/>
      <c r="R226" s="49"/>
      <c r="S226" s="49"/>
      <c r="T226" s="41"/>
      <c r="U226" s="42"/>
      <c r="V226" s="42"/>
      <c r="W226" s="42"/>
      <c r="X226" s="42"/>
      <c r="Y226" s="42"/>
      <c r="Z226" s="42"/>
      <c r="AA226" s="127">
        <f t="shared" si="3"/>
        <v>0</v>
      </c>
      <c r="AB226" s="43" t="s">
        <v>466</v>
      </c>
    </row>
    <row r="227" spans="1:28" ht="12.75">
      <c r="A227" s="38">
        <v>35947</v>
      </c>
      <c r="B227" s="39" t="s">
        <v>49</v>
      </c>
      <c r="C227" s="40" t="s">
        <v>54</v>
      </c>
      <c r="D227" s="40" t="s">
        <v>879</v>
      </c>
      <c r="E227" s="48"/>
      <c r="F227" s="48"/>
      <c r="G227" s="48"/>
      <c r="H227" s="48">
        <v>200</v>
      </c>
      <c r="I227" s="48">
        <v>32</v>
      </c>
      <c r="J227" s="48">
        <v>33</v>
      </c>
      <c r="K227" s="49"/>
      <c r="L227" s="49"/>
      <c r="M227" s="49"/>
      <c r="N227" s="49"/>
      <c r="O227" s="49"/>
      <c r="P227" s="49"/>
      <c r="Q227" s="49"/>
      <c r="R227" s="49"/>
      <c r="S227" s="49"/>
      <c r="T227" s="41"/>
      <c r="U227" s="42">
        <v>5397064</v>
      </c>
      <c r="V227" s="42"/>
      <c r="W227" s="42">
        <v>2203443.2</v>
      </c>
      <c r="X227" s="42"/>
      <c r="Y227" s="42"/>
      <c r="Z227" s="42"/>
      <c r="AA227" s="127">
        <f t="shared" si="3"/>
        <v>7600507.2</v>
      </c>
      <c r="AB227" s="43" t="s">
        <v>485</v>
      </c>
    </row>
    <row r="228" spans="1:28" ht="24.75">
      <c r="A228" s="38">
        <v>35949</v>
      </c>
      <c r="B228" s="39" t="s">
        <v>432</v>
      </c>
      <c r="C228" s="40" t="s">
        <v>436</v>
      </c>
      <c r="D228" s="40" t="s">
        <v>821</v>
      </c>
      <c r="E228" s="48"/>
      <c r="F228" s="48"/>
      <c r="G228" s="48"/>
      <c r="H228" s="48">
        <v>2630</v>
      </c>
      <c r="I228" s="48">
        <v>526</v>
      </c>
      <c r="J228" s="48">
        <v>10</v>
      </c>
      <c r="K228" s="49">
        <v>15</v>
      </c>
      <c r="L228" s="49">
        <v>1</v>
      </c>
      <c r="M228" s="49"/>
      <c r="N228" s="49"/>
      <c r="O228" s="49"/>
      <c r="P228" s="49"/>
      <c r="Q228" s="49"/>
      <c r="R228" s="49">
        <v>2</v>
      </c>
      <c r="S228" s="49"/>
      <c r="T228" s="41" t="s">
        <v>446</v>
      </c>
      <c r="U228" s="42">
        <v>62641527.91</v>
      </c>
      <c r="V228" s="42">
        <v>12098000</v>
      </c>
      <c r="W228" s="42"/>
      <c r="X228" s="42"/>
      <c r="Y228" s="42"/>
      <c r="Z228" s="42"/>
      <c r="AA228" s="127">
        <f t="shared" si="3"/>
        <v>74739527.91</v>
      </c>
      <c r="AB228" s="43" t="s">
        <v>448</v>
      </c>
    </row>
    <row r="229" spans="1:28" ht="16.5">
      <c r="A229" s="38">
        <v>35949</v>
      </c>
      <c r="B229" s="39" t="s">
        <v>829</v>
      </c>
      <c r="C229" s="40" t="s">
        <v>113</v>
      </c>
      <c r="D229" s="40" t="s">
        <v>821</v>
      </c>
      <c r="E229" s="48"/>
      <c r="F229" s="48"/>
      <c r="G229" s="48"/>
      <c r="H229" s="48">
        <v>92</v>
      </c>
      <c r="I229" s="48">
        <v>18</v>
      </c>
      <c r="J229" s="48">
        <v>17</v>
      </c>
      <c r="K229" s="49"/>
      <c r="L229" s="49">
        <v>4</v>
      </c>
      <c r="M229" s="49"/>
      <c r="N229" s="49"/>
      <c r="O229" s="49">
        <v>3</v>
      </c>
      <c r="P229" s="49"/>
      <c r="Q229" s="49"/>
      <c r="R229" s="49">
        <v>1</v>
      </c>
      <c r="S229" s="49"/>
      <c r="T229" s="41"/>
      <c r="U229" s="42">
        <v>5084669.84</v>
      </c>
      <c r="V229" s="42">
        <v>414000</v>
      </c>
      <c r="W229" s="42"/>
      <c r="X229" s="42"/>
      <c r="Y229" s="42"/>
      <c r="Z229" s="42"/>
      <c r="AA229" s="127">
        <f t="shared" si="3"/>
        <v>5498669.84</v>
      </c>
      <c r="AB229" s="43" t="s">
        <v>455</v>
      </c>
    </row>
    <row r="230" spans="1:28" ht="12.75">
      <c r="A230" s="38">
        <v>35950</v>
      </c>
      <c r="B230" s="39" t="s">
        <v>49</v>
      </c>
      <c r="C230" s="40" t="s">
        <v>486</v>
      </c>
      <c r="D230" s="40" t="s">
        <v>821</v>
      </c>
      <c r="E230" s="48"/>
      <c r="F230" s="48"/>
      <c r="G230" s="48"/>
      <c r="H230" s="48"/>
      <c r="I230" s="48"/>
      <c r="J230" s="48"/>
      <c r="K230" s="49"/>
      <c r="L230" s="49"/>
      <c r="M230" s="49">
        <v>1</v>
      </c>
      <c r="N230" s="49"/>
      <c r="O230" s="49"/>
      <c r="P230" s="49"/>
      <c r="Q230" s="49"/>
      <c r="R230" s="49"/>
      <c r="S230" s="49"/>
      <c r="T230" s="41" t="s">
        <v>94</v>
      </c>
      <c r="U230" s="42"/>
      <c r="V230" s="42"/>
      <c r="W230" s="42"/>
      <c r="X230" s="42"/>
      <c r="Y230" s="42"/>
      <c r="Z230" s="42"/>
      <c r="AA230" s="127">
        <f t="shared" si="3"/>
        <v>0</v>
      </c>
      <c r="AB230" s="43" t="s">
        <v>487</v>
      </c>
    </row>
    <row r="231" spans="1:28" ht="16.5">
      <c r="A231" s="38">
        <v>35951</v>
      </c>
      <c r="B231" s="39" t="s">
        <v>39</v>
      </c>
      <c r="C231" s="40" t="s">
        <v>158</v>
      </c>
      <c r="D231" s="40" t="s">
        <v>821</v>
      </c>
      <c r="E231" s="48"/>
      <c r="F231" s="48"/>
      <c r="G231" s="48"/>
      <c r="H231" s="48"/>
      <c r="I231" s="48"/>
      <c r="J231" s="48"/>
      <c r="K231" s="49"/>
      <c r="L231" s="49"/>
      <c r="M231" s="49"/>
      <c r="N231" s="49"/>
      <c r="O231" s="49"/>
      <c r="P231" s="49"/>
      <c r="Q231" s="49"/>
      <c r="R231" s="49"/>
      <c r="S231" s="49"/>
      <c r="T231" s="41"/>
      <c r="U231" s="42"/>
      <c r="V231" s="42">
        <v>2300000</v>
      </c>
      <c r="W231" s="42"/>
      <c r="X231" s="42"/>
      <c r="Y231" s="42"/>
      <c r="Z231" s="42"/>
      <c r="AA231" s="127">
        <f t="shared" si="3"/>
        <v>2300000</v>
      </c>
      <c r="AB231" s="43" t="s">
        <v>465</v>
      </c>
    </row>
    <row r="232" spans="1:28" ht="16.5">
      <c r="A232" s="38">
        <v>35952</v>
      </c>
      <c r="B232" s="39" t="s">
        <v>432</v>
      </c>
      <c r="C232" s="40" t="s">
        <v>432</v>
      </c>
      <c r="D232" s="40" t="s">
        <v>821</v>
      </c>
      <c r="E232" s="48"/>
      <c r="F232" s="48"/>
      <c r="G232" s="48"/>
      <c r="H232" s="48">
        <v>1628</v>
      </c>
      <c r="I232" s="48">
        <v>324</v>
      </c>
      <c r="J232" s="48"/>
      <c r="K232" s="49"/>
      <c r="L232" s="49">
        <v>11</v>
      </c>
      <c r="M232" s="49"/>
      <c r="N232" s="49"/>
      <c r="O232" s="49"/>
      <c r="P232" s="49"/>
      <c r="Q232" s="49"/>
      <c r="R232" s="49">
        <v>6</v>
      </c>
      <c r="S232" s="49">
        <v>1</v>
      </c>
      <c r="T232" s="41" t="s">
        <v>434</v>
      </c>
      <c r="U232" s="42">
        <v>38108986.57</v>
      </c>
      <c r="V232" s="42">
        <v>7452000</v>
      </c>
      <c r="W232" s="42"/>
      <c r="X232" s="42"/>
      <c r="Y232" s="42"/>
      <c r="Z232" s="42"/>
      <c r="AA232" s="127">
        <f t="shared" si="3"/>
        <v>45560986.57</v>
      </c>
      <c r="AB232" s="43" t="s">
        <v>435</v>
      </c>
    </row>
    <row r="233" spans="1:28" ht="16.5">
      <c r="A233" s="38">
        <v>35952</v>
      </c>
      <c r="B233" s="39" t="s">
        <v>59</v>
      </c>
      <c r="C233" s="40" t="s">
        <v>505</v>
      </c>
      <c r="D233" s="40" t="s">
        <v>911</v>
      </c>
      <c r="E233" s="48"/>
      <c r="F233" s="48"/>
      <c r="G233" s="48"/>
      <c r="H233" s="48">
        <v>105</v>
      </c>
      <c r="I233" s="48">
        <v>21</v>
      </c>
      <c r="J233" s="48"/>
      <c r="K233" s="49">
        <v>21</v>
      </c>
      <c r="L233" s="49"/>
      <c r="M233" s="49"/>
      <c r="N233" s="49"/>
      <c r="O233" s="49"/>
      <c r="P233" s="49"/>
      <c r="Q233" s="49"/>
      <c r="R233" s="49">
        <v>1</v>
      </c>
      <c r="S233" s="49"/>
      <c r="T233" s="41"/>
      <c r="U233" s="42"/>
      <c r="V233" s="42"/>
      <c r="W233" s="42">
        <v>2849744.16</v>
      </c>
      <c r="X233" s="42"/>
      <c r="Y233" s="42"/>
      <c r="Z233" s="42"/>
      <c r="AA233" s="127">
        <f t="shared" si="3"/>
        <v>2849744.16</v>
      </c>
      <c r="AB233" s="43" t="s">
        <v>792</v>
      </c>
    </row>
    <row r="234" spans="1:28" ht="12.75">
      <c r="A234" s="38">
        <v>35954</v>
      </c>
      <c r="B234" s="39" t="s">
        <v>13</v>
      </c>
      <c r="C234" s="40" t="s">
        <v>458</v>
      </c>
      <c r="D234" s="40" t="s">
        <v>821</v>
      </c>
      <c r="E234" s="48"/>
      <c r="F234" s="48"/>
      <c r="G234" s="48"/>
      <c r="H234" s="48">
        <v>1568</v>
      </c>
      <c r="I234" s="48">
        <v>224</v>
      </c>
      <c r="J234" s="48"/>
      <c r="K234" s="49">
        <v>224</v>
      </c>
      <c r="L234" s="49"/>
      <c r="M234" s="49"/>
      <c r="N234" s="49"/>
      <c r="O234" s="49"/>
      <c r="P234" s="49"/>
      <c r="Q234" s="49"/>
      <c r="R234" s="49"/>
      <c r="S234" s="49"/>
      <c r="T234" s="41" t="s">
        <v>94</v>
      </c>
      <c r="U234" s="42">
        <v>24286788</v>
      </c>
      <c r="V234" s="42"/>
      <c r="W234" s="42"/>
      <c r="X234" s="42"/>
      <c r="Y234" s="42"/>
      <c r="Z234" s="42"/>
      <c r="AA234" s="127">
        <f t="shared" si="3"/>
        <v>24286788</v>
      </c>
      <c r="AB234" s="43" t="s">
        <v>459</v>
      </c>
    </row>
    <row r="235" spans="1:28" ht="12.75">
      <c r="A235" s="38">
        <v>35954</v>
      </c>
      <c r="B235" s="39" t="s">
        <v>13</v>
      </c>
      <c r="C235" s="40" t="s">
        <v>875</v>
      </c>
      <c r="D235" s="40" t="s">
        <v>884</v>
      </c>
      <c r="E235" s="48"/>
      <c r="F235" s="48"/>
      <c r="G235" s="48"/>
      <c r="H235" s="48"/>
      <c r="I235" s="48"/>
      <c r="J235" s="48"/>
      <c r="K235" s="49"/>
      <c r="L235" s="49"/>
      <c r="M235" s="49"/>
      <c r="N235" s="49"/>
      <c r="O235" s="49"/>
      <c r="P235" s="49"/>
      <c r="Q235" s="49"/>
      <c r="R235" s="49"/>
      <c r="S235" s="49"/>
      <c r="T235" s="41"/>
      <c r="U235" s="42"/>
      <c r="V235" s="42">
        <v>23000000</v>
      </c>
      <c r="W235" s="42"/>
      <c r="X235" s="42"/>
      <c r="Y235" s="42"/>
      <c r="Z235" s="42"/>
      <c r="AA235" s="127">
        <f t="shared" si="3"/>
        <v>23000000</v>
      </c>
      <c r="AB235" s="43"/>
    </row>
    <row r="236" spans="1:28" ht="12.75">
      <c r="A236" s="38">
        <v>35955</v>
      </c>
      <c r="B236" s="39" t="s">
        <v>92</v>
      </c>
      <c r="C236" s="40" t="s">
        <v>93</v>
      </c>
      <c r="D236" s="40" t="s">
        <v>821</v>
      </c>
      <c r="E236" s="48"/>
      <c r="F236" s="48"/>
      <c r="G236" s="48"/>
      <c r="H236" s="48">
        <v>34</v>
      </c>
      <c r="I236" s="48">
        <v>7</v>
      </c>
      <c r="J236" s="48"/>
      <c r="K236" s="49"/>
      <c r="L236" s="49"/>
      <c r="M236" s="49"/>
      <c r="N236" s="49"/>
      <c r="O236" s="49"/>
      <c r="P236" s="49"/>
      <c r="Q236" s="49"/>
      <c r="R236" s="49"/>
      <c r="S236" s="49"/>
      <c r="T236" s="41"/>
      <c r="U236" s="42"/>
      <c r="V236" s="42"/>
      <c r="W236" s="42"/>
      <c r="X236" s="42"/>
      <c r="Y236" s="42"/>
      <c r="Z236" s="42"/>
      <c r="AA236" s="127">
        <f t="shared" si="3"/>
        <v>0</v>
      </c>
      <c r="AB236" s="43" t="s">
        <v>470</v>
      </c>
    </row>
    <row r="237" spans="1:28" ht="12.75">
      <c r="A237" s="38">
        <v>35955</v>
      </c>
      <c r="B237" s="39" t="s">
        <v>899</v>
      </c>
      <c r="C237" s="40" t="s">
        <v>473</v>
      </c>
      <c r="D237" s="40" t="s">
        <v>821</v>
      </c>
      <c r="E237" s="48"/>
      <c r="F237" s="48"/>
      <c r="G237" s="48"/>
      <c r="H237" s="48"/>
      <c r="I237" s="48"/>
      <c r="J237" s="48"/>
      <c r="K237" s="49"/>
      <c r="L237" s="49"/>
      <c r="M237" s="49"/>
      <c r="N237" s="49"/>
      <c r="O237" s="49"/>
      <c r="P237" s="49"/>
      <c r="Q237" s="49"/>
      <c r="R237" s="49"/>
      <c r="S237" s="49"/>
      <c r="T237" s="41"/>
      <c r="U237" s="42">
        <v>1212511.2</v>
      </c>
      <c r="V237" s="42">
        <v>460000</v>
      </c>
      <c r="W237" s="42">
        <v>206572.8</v>
      </c>
      <c r="X237" s="42"/>
      <c r="Y237" s="42"/>
      <c r="Z237" s="42"/>
      <c r="AA237" s="127">
        <f t="shared" si="3"/>
        <v>1879084</v>
      </c>
      <c r="AB237" s="43" t="s">
        <v>294</v>
      </c>
    </row>
    <row r="238" spans="1:28" ht="12.75">
      <c r="A238" s="38">
        <v>35955</v>
      </c>
      <c r="B238" s="39" t="s">
        <v>899</v>
      </c>
      <c r="C238" s="40" t="s">
        <v>474</v>
      </c>
      <c r="D238" s="40" t="s">
        <v>821</v>
      </c>
      <c r="E238" s="48"/>
      <c r="F238" s="48"/>
      <c r="G238" s="48"/>
      <c r="H238" s="48"/>
      <c r="I238" s="48"/>
      <c r="J238" s="48"/>
      <c r="K238" s="49"/>
      <c r="L238" s="49"/>
      <c r="M238" s="49"/>
      <c r="N238" s="49"/>
      <c r="O238" s="49"/>
      <c r="P238" s="49"/>
      <c r="Q238" s="49"/>
      <c r="R238" s="49"/>
      <c r="S238" s="49"/>
      <c r="T238" s="41"/>
      <c r="U238" s="42">
        <v>830097</v>
      </c>
      <c r="V238" s="42">
        <v>575000</v>
      </c>
      <c r="W238" s="42">
        <v>344288</v>
      </c>
      <c r="X238" s="42"/>
      <c r="Y238" s="42"/>
      <c r="Z238" s="42"/>
      <c r="AA238" s="127">
        <f t="shared" si="3"/>
        <v>1749385</v>
      </c>
      <c r="AB238" s="43" t="s">
        <v>294</v>
      </c>
    </row>
    <row r="239" spans="1:28" ht="12.75">
      <c r="A239" s="38">
        <v>35955</v>
      </c>
      <c r="B239" s="39" t="s">
        <v>899</v>
      </c>
      <c r="C239" s="40" t="s">
        <v>475</v>
      </c>
      <c r="D239" s="40" t="s">
        <v>821</v>
      </c>
      <c r="E239" s="48"/>
      <c r="F239" s="48"/>
      <c r="G239" s="48"/>
      <c r="H239" s="48"/>
      <c r="I239" s="48"/>
      <c r="J239" s="48"/>
      <c r="K239" s="49"/>
      <c r="L239" s="49"/>
      <c r="M239" s="49"/>
      <c r="N239" s="49"/>
      <c r="O239" s="49"/>
      <c r="P239" s="49"/>
      <c r="Q239" s="49"/>
      <c r="R239" s="49"/>
      <c r="S239" s="49"/>
      <c r="T239" s="41"/>
      <c r="U239" s="42">
        <v>1850564.7</v>
      </c>
      <c r="V239" s="42">
        <v>1150000</v>
      </c>
      <c r="W239" s="42">
        <v>482003.2</v>
      </c>
      <c r="X239" s="42"/>
      <c r="Y239" s="42"/>
      <c r="Z239" s="42"/>
      <c r="AA239" s="127">
        <f t="shared" si="3"/>
        <v>3482567.9000000004</v>
      </c>
      <c r="AB239" s="43" t="s">
        <v>294</v>
      </c>
    </row>
    <row r="240" spans="1:28" ht="12.75">
      <c r="A240" s="38">
        <v>35957</v>
      </c>
      <c r="B240" s="39" t="s">
        <v>432</v>
      </c>
      <c r="C240" s="40" t="s">
        <v>447</v>
      </c>
      <c r="D240" s="40" t="s">
        <v>821</v>
      </c>
      <c r="E240" s="48"/>
      <c r="F240" s="48"/>
      <c r="G240" s="48"/>
      <c r="H240" s="48">
        <v>1250</v>
      </c>
      <c r="I240" s="48">
        <v>250</v>
      </c>
      <c r="J240" s="48"/>
      <c r="K240" s="49"/>
      <c r="L240" s="49"/>
      <c r="M240" s="49"/>
      <c r="N240" s="49"/>
      <c r="O240" s="49"/>
      <c r="P240" s="49"/>
      <c r="Q240" s="49"/>
      <c r="R240" s="49"/>
      <c r="S240" s="49"/>
      <c r="T240" s="41"/>
      <c r="U240" s="42">
        <v>29247374.62</v>
      </c>
      <c r="V240" s="42">
        <v>5750000</v>
      </c>
      <c r="W240" s="42"/>
      <c r="X240" s="42"/>
      <c r="Y240" s="42"/>
      <c r="Z240" s="42"/>
      <c r="AA240" s="127">
        <f t="shared" si="3"/>
        <v>34997374.620000005</v>
      </c>
      <c r="AB240" s="43" t="s">
        <v>449</v>
      </c>
    </row>
    <row r="241" spans="1:28" ht="22.5">
      <c r="A241" s="38">
        <v>35957</v>
      </c>
      <c r="B241" s="39" t="s">
        <v>432</v>
      </c>
      <c r="C241" s="40" t="s">
        <v>450</v>
      </c>
      <c r="D241" s="40" t="s">
        <v>821</v>
      </c>
      <c r="E241" s="48"/>
      <c r="F241" s="48"/>
      <c r="G241" s="48"/>
      <c r="H241" s="48">
        <v>700</v>
      </c>
      <c r="I241" s="48">
        <v>140</v>
      </c>
      <c r="J241" s="48"/>
      <c r="K241" s="49"/>
      <c r="L241" s="49"/>
      <c r="M241" s="49"/>
      <c r="N241" s="49"/>
      <c r="O241" s="49"/>
      <c r="P241" s="49"/>
      <c r="Q241" s="49"/>
      <c r="R241" s="49"/>
      <c r="S241" s="49"/>
      <c r="T241" s="41"/>
      <c r="U241" s="42">
        <v>16347927.71</v>
      </c>
      <c r="V241" s="42">
        <v>3220000</v>
      </c>
      <c r="W241" s="42"/>
      <c r="X241" s="42"/>
      <c r="Y241" s="42"/>
      <c r="Z241" s="42"/>
      <c r="AA241" s="127">
        <f t="shared" si="3"/>
        <v>19567927.71</v>
      </c>
      <c r="AB241" s="43" t="s">
        <v>451</v>
      </c>
    </row>
    <row r="242" spans="1:28" ht="12.75">
      <c r="A242" s="38">
        <v>35957</v>
      </c>
      <c r="B242" s="39" t="s">
        <v>432</v>
      </c>
      <c r="C242" s="40" t="s">
        <v>452</v>
      </c>
      <c r="D242" s="40" t="s">
        <v>821</v>
      </c>
      <c r="E242" s="48"/>
      <c r="F242" s="48"/>
      <c r="G242" s="48"/>
      <c r="H242" s="48"/>
      <c r="I242" s="48"/>
      <c r="J242" s="48"/>
      <c r="K242" s="49"/>
      <c r="L242" s="49"/>
      <c r="M242" s="49"/>
      <c r="N242" s="49"/>
      <c r="O242" s="49"/>
      <c r="P242" s="49"/>
      <c r="Q242" s="49"/>
      <c r="R242" s="49"/>
      <c r="S242" s="49"/>
      <c r="T242" s="41"/>
      <c r="U242" s="42"/>
      <c r="V242" s="42"/>
      <c r="W242" s="42"/>
      <c r="X242" s="42"/>
      <c r="Y242" s="42"/>
      <c r="Z242" s="42"/>
      <c r="AA242" s="127">
        <f t="shared" si="3"/>
        <v>0</v>
      </c>
      <c r="AB242" s="43" t="s">
        <v>453</v>
      </c>
    </row>
    <row r="243" spans="1:28" ht="12.75">
      <c r="A243" s="38">
        <v>35958</v>
      </c>
      <c r="B243" s="39" t="s">
        <v>59</v>
      </c>
      <c r="C243" s="40" t="s">
        <v>207</v>
      </c>
      <c r="D243" s="40" t="s">
        <v>821</v>
      </c>
      <c r="E243" s="48"/>
      <c r="F243" s="48"/>
      <c r="G243" s="48"/>
      <c r="H243" s="48"/>
      <c r="I243" s="48"/>
      <c r="J243" s="48"/>
      <c r="K243" s="49"/>
      <c r="L243" s="49"/>
      <c r="M243" s="49"/>
      <c r="N243" s="49"/>
      <c r="O243" s="49"/>
      <c r="P243" s="49"/>
      <c r="Q243" s="49"/>
      <c r="R243" s="49"/>
      <c r="S243" s="49"/>
      <c r="T243" s="41"/>
      <c r="U243" s="42">
        <v>70713846</v>
      </c>
      <c r="V243" s="42">
        <v>8050000</v>
      </c>
      <c r="W243" s="42"/>
      <c r="X243" s="42"/>
      <c r="Y243" s="42"/>
      <c r="Z243" s="42"/>
      <c r="AA243" s="127">
        <f t="shared" si="3"/>
        <v>78763846</v>
      </c>
      <c r="AB243" s="43" t="s">
        <v>454</v>
      </c>
    </row>
    <row r="244" spans="1:28" ht="12.75">
      <c r="A244" s="38">
        <v>35958</v>
      </c>
      <c r="B244" s="39" t="s">
        <v>877</v>
      </c>
      <c r="C244" s="40" t="s">
        <v>68</v>
      </c>
      <c r="D244" s="40" t="s">
        <v>884</v>
      </c>
      <c r="E244" s="48"/>
      <c r="F244" s="48"/>
      <c r="G244" s="48"/>
      <c r="H244" s="48"/>
      <c r="I244" s="48"/>
      <c r="J244" s="48"/>
      <c r="K244" s="49"/>
      <c r="L244" s="49"/>
      <c r="M244" s="49"/>
      <c r="N244" s="49"/>
      <c r="O244" s="49"/>
      <c r="P244" s="49"/>
      <c r="Q244" s="49"/>
      <c r="R244" s="49"/>
      <c r="S244" s="49"/>
      <c r="T244" s="41"/>
      <c r="U244" s="42"/>
      <c r="V244" s="42">
        <v>11500000</v>
      </c>
      <c r="W244" s="42"/>
      <c r="X244" s="42"/>
      <c r="Y244" s="42"/>
      <c r="Z244" s="42"/>
      <c r="AA244" s="127">
        <f t="shared" si="3"/>
        <v>11500000</v>
      </c>
      <c r="AB244" s="43" t="s">
        <v>460</v>
      </c>
    </row>
    <row r="245" spans="1:28" ht="24.75">
      <c r="A245" s="38">
        <v>35958</v>
      </c>
      <c r="B245" s="39" t="s">
        <v>904</v>
      </c>
      <c r="C245" s="40" t="s">
        <v>396</v>
      </c>
      <c r="D245" s="40" t="s">
        <v>821</v>
      </c>
      <c r="E245" s="48"/>
      <c r="F245" s="48"/>
      <c r="G245" s="48"/>
      <c r="H245" s="48">
        <v>2085</v>
      </c>
      <c r="I245" s="48">
        <v>417</v>
      </c>
      <c r="J245" s="48"/>
      <c r="K245" s="49">
        <v>55</v>
      </c>
      <c r="L245" s="49"/>
      <c r="M245" s="49"/>
      <c r="N245" s="49"/>
      <c r="O245" s="49"/>
      <c r="P245" s="49"/>
      <c r="Q245" s="49"/>
      <c r="R245" s="49"/>
      <c r="S245" s="49"/>
      <c r="T245" s="41" t="s">
        <v>478</v>
      </c>
      <c r="U245" s="42"/>
      <c r="V245" s="42"/>
      <c r="W245" s="42">
        <v>3029734.4</v>
      </c>
      <c r="X245" s="42"/>
      <c r="Y245" s="42"/>
      <c r="Z245" s="42"/>
      <c r="AA245" s="127">
        <f t="shared" si="3"/>
        <v>3029734.4</v>
      </c>
      <c r="AB245" s="43" t="s">
        <v>479</v>
      </c>
    </row>
    <row r="246" spans="1:28" ht="12.75">
      <c r="A246" s="38">
        <v>35958</v>
      </c>
      <c r="B246" s="39" t="s">
        <v>904</v>
      </c>
      <c r="C246" s="40" t="s">
        <v>875</v>
      </c>
      <c r="D246" s="40" t="s">
        <v>821</v>
      </c>
      <c r="E246" s="48"/>
      <c r="F246" s="48"/>
      <c r="G246" s="48"/>
      <c r="H246" s="48"/>
      <c r="I246" s="48"/>
      <c r="J246" s="48"/>
      <c r="K246" s="49"/>
      <c r="L246" s="49"/>
      <c r="M246" s="49"/>
      <c r="N246" s="49"/>
      <c r="O246" s="49"/>
      <c r="P246" s="49"/>
      <c r="Q246" s="49"/>
      <c r="R246" s="49"/>
      <c r="S246" s="49"/>
      <c r="T246" s="41"/>
      <c r="U246" s="42">
        <v>9075090.03</v>
      </c>
      <c r="V246" s="42">
        <v>4600000</v>
      </c>
      <c r="W246" s="42"/>
      <c r="X246" s="42"/>
      <c r="Y246" s="42"/>
      <c r="Z246" s="42"/>
      <c r="AA246" s="127">
        <f t="shared" si="3"/>
        <v>13675090.03</v>
      </c>
      <c r="AB246" s="43" t="s">
        <v>480</v>
      </c>
    </row>
    <row r="247" spans="1:28" ht="12.75">
      <c r="A247" s="38">
        <v>35958</v>
      </c>
      <c r="B247" s="39" t="s">
        <v>100</v>
      </c>
      <c r="C247" s="40" t="s">
        <v>481</v>
      </c>
      <c r="D247" s="40" t="s">
        <v>821</v>
      </c>
      <c r="E247" s="48"/>
      <c r="F247" s="48"/>
      <c r="G247" s="48"/>
      <c r="H247" s="48">
        <v>1875</v>
      </c>
      <c r="I247" s="48">
        <v>375</v>
      </c>
      <c r="J247" s="48"/>
      <c r="K247" s="49"/>
      <c r="L247" s="49"/>
      <c r="M247" s="49"/>
      <c r="N247" s="49"/>
      <c r="O247" s="49"/>
      <c r="P247" s="49"/>
      <c r="Q247" s="49"/>
      <c r="R247" s="49"/>
      <c r="S247" s="49"/>
      <c r="T247" s="41"/>
      <c r="U247" s="42">
        <v>30050917.5</v>
      </c>
      <c r="V247" s="42">
        <v>8740000</v>
      </c>
      <c r="W247" s="42">
        <v>10328640</v>
      </c>
      <c r="X247" s="42"/>
      <c r="Y247" s="42"/>
      <c r="Z247" s="42"/>
      <c r="AA247" s="127">
        <f t="shared" si="3"/>
        <v>49119557.5</v>
      </c>
      <c r="AB247" s="43"/>
    </row>
    <row r="248" spans="1:28" ht="12.75">
      <c r="A248" s="38">
        <v>35958</v>
      </c>
      <c r="B248" s="39" t="s">
        <v>100</v>
      </c>
      <c r="C248" s="40" t="s">
        <v>481</v>
      </c>
      <c r="D248" s="40" t="s">
        <v>821</v>
      </c>
      <c r="E248" s="48"/>
      <c r="F248" s="48"/>
      <c r="G248" s="48"/>
      <c r="H248" s="48">
        <v>370</v>
      </c>
      <c r="I248" s="48">
        <v>66</v>
      </c>
      <c r="J248" s="48"/>
      <c r="K248" s="49"/>
      <c r="L248" s="49"/>
      <c r="M248" s="49"/>
      <c r="N248" s="49"/>
      <c r="O248" s="49"/>
      <c r="P248" s="49"/>
      <c r="Q248" s="49"/>
      <c r="R248" s="49"/>
      <c r="S248" s="49"/>
      <c r="T248" s="41"/>
      <c r="U248" s="42">
        <v>5288961.48</v>
      </c>
      <c r="V248" s="42">
        <v>1449000</v>
      </c>
      <c r="W248" s="42">
        <v>1817840.64</v>
      </c>
      <c r="X248" s="42"/>
      <c r="Y248" s="42"/>
      <c r="Z248" s="42"/>
      <c r="AA248" s="127">
        <f t="shared" si="3"/>
        <v>8555802.120000001</v>
      </c>
      <c r="AB248" s="43" t="s">
        <v>482</v>
      </c>
    </row>
    <row r="249" spans="1:28" ht="12.75">
      <c r="A249" s="38">
        <v>35958</v>
      </c>
      <c r="B249" s="39" t="s">
        <v>100</v>
      </c>
      <c r="C249" s="40" t="s">
        <v>483</v>
      </c>
      <c r="D249" s="40" t="s">
        <v>821</v>
      </c>
      <c r="E249" s="48"/>
      <c r="F249" s="48"/>
      <c r="G249" s="48"/>
      <c r="H249" s="48">
        <v>310</v>
      </c>
      <c r="I249" s="48">
        <v>62</v>
      </c>
      <c r="J249" s="48"/>
      <c r="K249" s="49"/>
      <c r="L249" s="49"/>
      <c r="M249" s="49"/>
      <c r="N249" s="49"/>
      <c r="O249" s="49"/>
      <c r="P249" s="49"/>
      <c r="Q249" s="49"/>
      <c r="R249" s="49"/>
      <c r="S249" s="49"/>
      <c r="T249" s="41"/>
      <c r="U249" s="42">
        <v>9936836.72</v>
      </c>
      <c r="V249" s="42">
        <v>1426000</v>
      </c>
      <c r="W249" s="42">
        <v>1707668.48</v>
      </c>
      <c r="X249" s="42"/>
      <c r="Y249" s="42"/>
      <c r="Z249" s="42"/>
      <c r="AA249" s="127">
        <f t="shared" si="3"/>
        <v>13070505.200000001</v>
      </c>
      <c r="AB249" s="43" t="s">
        <v>484</v>
      </c>
    </row>
    <row r="250" spans="1:28" ht="12.75">
      <c r="A250" s="38">
        <v>35962</v>
      </c>
      <c r="B250" s="39" t="s">
        <v>882</v>
      </c>
      <c r="C250" s="40" t="s">
        <v>308</v>
      </c>
      <c r="D250" s="40" t="s">
        <v>821</v>
      </c>
      <c r="E250" s="48"/>
      <c r="F250" s="48"/>
      <c r="G250" s="48"/>
      <c r="H250" s="48"/>
      <c r="I250" s="48"/>
      <c r="J250" s="48"/>
      <c r="K250" s="49"/>
      <c r="L250" s="49"/>
      <c r="M250" s="49"/>
      <c r="N250" s="49"/>
      <c r="O250" s="49"/>
      <c r="P250" s="49"/>
      <c r="Q250" s="49"/>
      <c r="R250" s="49"/>
      <c r="S250" s="49"/>
      <c r="T250" s="41"/>
      <c r="U250" s="42"/>
      <c r="V250" s="42"/>
      <c r="W250" s="42"/>
      <c r="X250" s="42">
        <v>4408000</v>
      </c>
      <c r="Y250" s="42"/>
      <c r="Z250" s="42"/>
      <c r="AA250" s="127">
        <f t="shared" si="3"/>
        <v>4408000</v>
      </c>
      <c r="AB250" s="43"/>
    </row>
    <row r="251" spans="1:28" ht="12.75">
      <c r="A251" s="38">
        <v>35962</v>
      </c>
      <c r="B251" s="39" t="s">
        <v>899</v>
      </c>
      <c r="C251" s="40" t="s">
        <v>476</v>
      </c>
      <c r="D251" s="40" t="s">
        <v>821</v>
      </c>
      <c r="E251" s="48"/>
      <c r="F251" s="48"/>
      <c r="G251" s="48"/>
      <c r="H251" s="48"/>
      <c r="I251" s="48"/>
      <c r="J251" s="48"/>
      <c r="K251" s="49"/>
      <c r="L251" s="49"/>
      <c r="M251" s="49"/>
      <c r="N251" s="49"/>
      <c r="O251" s="49"/>
      <c r="P251" s="49"/>
      <c r="Q251" s="49"/>
      <c r="R251" s="49"/>
      <c r="S251" s="49"/>
      <c r="T251" s="41"/>
      <c r="U251" s="42">
        <v>256818.6</v>
      </c>
      <c r="V251" s="42">
        <v>690000</v>
      </c>
      <c r="W251" s="42">
        <v>344288</v>
      </c>
      <c r="X251" s="42"/>
      <c r="Y251" s="42"/>
      <c r="Z251" s="42"/>
      <c r="AA251" s="127">
        <f t="shared" si="3"/>
        <v>1291106.6</v>
      </c>
      <c r="AB251" s="43" t="s">
        <v>294</v>
      </c>
    </row>
    <row r="252" spans="1:28" ht="22.5">
      <c r="A252" s="38">
        <v>35963</v>
      </c>
      <c r="B252" s="39" t="s">
        <v>92</v>
      </c>
      <c r="C252" s="40" t="s">
        <v>471</v>
      </c>
      <c r="D252" s="40" t="s">
        <v>821</v>
      </c>
      <c r="E252" s="48"/>
      <c r="F252" s="48"/>
      <c r="G252" s="48"/>
      <c r="H252" s="48">
        <v>2500</v>
      </c>
      <c r="I252" s="48">
        <v>500</v>
      </c>
      <c r="J252" s="48"/>
      <c r="K252" s="49"/>
      <c r="L252" s="49"/>
      <c r="M252" s="49"/>
      <c r="N252" s="49"/>
      <c r="O252" s="49"/>
      <c r="P252" s="49"/>
      <c r="Q252" s="49"/>
      <c r="R252" s="49"/>
      <c r="S252" s="49"/>
      <c r="T252" s="41"/>
      <c r="U252" s="42">
        <v>44774593.1</v>
      </c>
      <c r="V252" s="42">
        <v>11500000</v>
      </c>
      <c r="W252" s="42"/>
      <c r="X252" s="42"/>
      <c r="Y252" s="42"/>
      <c r="Z252" s="42">
        <v>5000000</v>
      </c>
      <c r="AA252" s="127">
        <f t="shared" si="3"/>
        <v>61274593.1</v>
      </c>
      <c r="AB252" s="43" t="s">
        <v>472</v>
      </c>
    </row>
    <row r="253" spans="1:28" ht="12.75">
      <c r="A253" s="38">
        <v>35965</v>
      </c>
      <c r="B253" s="39" t="s">
        <v>899</v>
      </c>
      <c r="C253" s="40" t="s">
        <v>388</v>
      </c>
      <c r="D253" s="40" t="s">
        <v>821</v>
      </c>
      <c r="E253" s="48"/>
      <c r="F253" s="48"/>
      <c r="G253" s="48"/>
      <c r="H253" s="48"/>
      <c r="I253" s="48"/>
      <c r="J253" s="48"/>
      <c r="K253" s="49"/>
      <c r="L253" s="49"/>
      <c r="M253" s="49"/>
      <c r="N253" s="49"/>
      <c r="O253" s="49"/>
      <c r="P253" s="49"/>
      <c r="Q253" s="49"/>
      <c r="R253" s="49"/>
      <c r="S253" s="49"/>
      <c r="T253" s="41"/>
      <c r="U253" s="42">
        <v>328233.3</v>
      </c>
      <c r="V253" s="42">
        <v>805000</v>
      </c>
      <c r="W253" s="42">
        <v>482003.2</v>
      </c>
      <c r="X253" s="42"/>
      <c r="Y253" s="42"/>
      <c r="Z253" s="42"/>
      <c r="AA253" s="127">
        <f t="shared" si="3"/>
        <v>1615236.5</v>
      </c>
      <c r="AB253" s="43" t="s">
        <v>294</v>
      </c>
    </row>
    <row r="254" spans="1:28" ht="22.5">
      <c r="A254" s="38">
        <v>35965</v>
      </c>
      <c r="B254" s="39" t="s">
        <v>899</v>
      </c>
      <c r="C254" s="40" t="s">
        <v>477</v>
      </c>
      <c r="D254" s="40" t="s">
        <v>821</v>
      </c>
      <c r="E254" s="48"/>
      <c r="F254" s="48"/>
      <c r="G254" s="48"/>
      <c r="H254" s="48"/>
      <c r="I254" s="48"/>
      <c r="J254" s="48"/>
      <c r="K254" s="49"/>
      <c r="L254" s="49"/>
      <c r="M254" s="49"/>
      <c r="N254" s="49"/>
      <c r="O254" s="49"/>
      <c r="P254" s="49"/>
      <c r="Q254" s="49"/>
      <c r="R254" s="49"/>
      <c r="S254" s="49"/>
      <c r="T254" s="41"/>
      <c r="U254" s="42">
        <v>1393196.75</v>
      </c>
      <c r="V254" s="42"/>
      <c r="W254" s="42">
        <v>482003.2</v>
      </c>
      <c r="X254" s="42"/>
      <c r="Y254" s="42"/>
      <c r="Z254" s="42"/>
      <c r="AA254" s="127">
        <f t="shared" si="3"/>
        <v>1875199.95</v>
      </c>
      <c r="AB254" s="43" t="s">
        <v>294</v>
      </c>
    </row>
    <row r="255" spans="1:28" ht="22.5">
      <c r="A255" s="38">
        <v>35968</v>
      </c>
      <c r="B255" s="39" t="s">
        <v>432</v>
      </c>
      <c r="C255" s="40" t="s">
        <v>450</v>
      </c>
      <c r="D255" s="40" t="s">
        <v>911</v>
      </c>
      <c r="E255" s="48"/>
      <c r="F255" s="48"/>
      <c r="G255" s="48"/>
      <c r="H255" s="48">
        <v>225</v>
      </c>
      <c r="I255" s="48">
        <v>45</v>
      </c>
      <c r="J255" s="48">
        <v>2</v>
      </c>
      <c r="K255" s="49">
        <v>43</v>
      </c>
      <c r="L255" s="49"/>
      <c r="M255" s="49"/>
      <c r="N255" s="49"/>
      <c r="O255" s="49"/>
      <c r="P255" s="49"/>
      <c r="Q255" s="49"/>
      <c r="R255" s="49"/>
      <c r="S255" s="49"/>
      <c r="T255" s="41"/>
      <c r="U255" s="42"/>
      <c r="V255" s="42"/>
      <c r="W255" s="42">
        <v>3071048.96</v>
      </c>
      <c r="X255" s="42"/>
      <c r="Y255" s="42"/>
      <c r="Z255" s="42"/>
      <c r="AA255" s="127">
        <f t="shared" si="3"/>
        <v>3071048.96</v>
      </c>
      <c r="AB255" s="43"/>
    </row>
    <row r="256" spans="1:28" ht="22.5">
      <c r="A256" s="38">
        <v>35969</v>
      </c>
      <c r="B256" s="39" t="s">
        <v>129</v>
      </c>
      <c r="C256" s="40" t="s">
        <v>456</v>
      </c>
      <c r="D256" s="40" t="s">
        <v>821</v>
      </c>
      <c r="E256" s="48"/>
      <c r="F256" s="48"/>
      <c r="G256" s="48"/>
      <c r="H256" s="48">
        <v>135</v>
      </c>
      <c r="I256" s="48">
        <v>24</v>
      </c>
      <c r="J256" s="48">
        <v>3</v>
      </c>
      <c r="K256" s="49">
        <v>21</v>
      </c>
      <c r="L256" s="49"/>
      <c r="M256" s="49"/>
      <c r="N256" s="49"/>
      <c r="O256" s="49"/>
      <c r="P256" s="49"/>
      <c r="Q256" s="49"/>
      <c r="R256" s="49"/>
      <c r="S256" s="49"/>
      <c r="T256" s="41"/>
      <c r="U256" s="42">
        <v>4533625.6</v>
      </c>
      <c r="V256" s="42"/>
      <c r="W256" s="42"/>
      <c r="X256" s="42"/>
      <c r="Y256" s="42"/>
      <c r="Z256" s="42"/>
      <c r="AA256" s="127">
        <f t="shared" si="3"/>
        <v>4533625.6</v>
      </c>
      <c r="AB256" s="43" t="s">
        <v>457</v>
      </c>
    </row>
    <row r="257" spans="1:28" ht="12.75">
      <c r="A257" s="38">
        <v>35970</v>
      </c>
      <c r="B257" s="39" t="s">
        <v>34</v>
      </c>
      <c r="C257" s="40" t="s">
        <v>875</v>
      </c>
      <c r="D257" s="40" t="s">
        <v>821</v>
      </c>
      <c r="E257" s="48"/>
      <c r="F257" s="48"/>
      <c r="G257" s="48"/>
      <c r="H257" s="48"/>
      <c r="I257" s="48"/>
      <c r="J257" s="48"/>
      <c r="K257" s="49"/>
      <c r="L257" s="49"/>
      <c r="M257" s="49"/>
      <c r="N257" s="49"/>
      <c r="O257" s="49"/>
      <c r="P257" s="49"/>
      <c r="Q257" s="49"/>
      <c r="R257" s="49"/>
      <c r="S257" s="49"/>
      <c r="T257" s="41"/>
      <c r="U257" s="42"/>
      <c r="V257" s="42"/>
      <c r="W257" s="42">
        <v>13771520</v>
      </c>
      <c r="X257" s="42"/>
      <c r="Y257" s="42"/>
      <c r="Z257" s="42"/>
      <c r="AA257" s="127">
        <f t="shared" si="3"/>
        <v>13771520</v>
      </c>
      <c r="AB257" s="43" t="s">
        <v>464</v>
      </c>
    </row>
    <row r="258" spans="1:28" ht="24.75">
      <c r="A258" s="38">
        <v>35971</v>
      </c>
      <c r="B258" s="39" t="s">
        <v>488</v>
      </c>
      <c r="C258" s="40" t="s">
        <v>875</v>
      </c>
      <c r="D258" s="40" t="s">
        <v>821</v>
      </c>
      <c r="E258" s="48"/>
      <c r="F258" s="48"/>
      <c r="G258" s="48"/>
      <c r="H258" s="48">
        <v>2053</v>
      </c>
      <c r="I258" s="48">
        <v>365</v>
      </c>
      <c r="J258" s="48"/>
      <c r="K258" s="49"/>
      <c r="L258" s="49"/>
      <c r="M258" s="49"/>
      <c r="N258" s="49"/>
      <c r="O258" s="49"/>
      <c r="P258" s="49"/>
      <c r="Q258" s="49"/>
      <c r="R258" s="49"/>
      <c r="S258" s="49"/>
      <c r="T258" s="41"/>
      <c r="U258" s="42">
        <v>49892170</v>
      </c>
      <c r="V258" s="42">
        <v>13800000</v>
      </c>
      <c r="W258" s="42"/>
      <c r="X258" s="42"/>
      <c r="Y258" s="42"/>
      <c r="Z258" s="42"/>
      <c r="AA258" s="127">
        <f>+U258+V258+W258+X258+Y258+Z258</f>
        <v>63692170</v>
      </c>
      <c r="AB258" s="43" t="s">
        <v>489</v>
      </c>
    </row>
    <row r="259" spans="1:28" ht="12.75">
      <c r="A259" s="38">
        <v>35972</v>
      </c>
      <c r="B259" s="39" t="s">
        <v>820</v>
      </c>
      <c r="C259" s="40" t="s">
        <v>433</v>
      </c>
      <c r="D259" s="40" t="s">
        <v>821</v>
      </c>
      <c r="E259" s="48"/>
      <c r="F259" s="48"/>
      <c r="G259" s="48"/>
      <c r="H259" s="48"/>
      <c r="I259" s="48"/>
      <c r="J259" s="48"/>
      <c r="K259" s="49"/>
      <c r="L259" s="49"/>
      <c r="M259" s="49"/>
      <c r="N259" s="49"/>
      <c r="O259" s="49"/>
      <c r="P259" s="49"/>
      <c r="Q259" s="49"/>
      <c r="R259" s="49"/>
      <c r="S259" s="49"/>
      <c r="T259" s="41"/>
      <c r="U259" s="42"/>
      <c r="V259" s="42">
        <v>9200000</v>
      </c>
      <c r="W259" s="42"/>
      <c r="X259" s="42"/>
      <c r="Y259" s="42"/>
      <c r="Z259" s="42"/>
      <c r="AA259" s="127">
        <f t="shared" si="3"/>
        <v>9200000</v>
      </c>
      <c r="AB259" s="43"/>
    </row>
    <row r="260" spans="1:28" ht="16.5">
      <c r="A260" s="38">
        <v>35974</v>
      </c>
      <c r="B260" s="39" t="s">
        <v>882</v>
      </c>
      <c r="C260" s="40" t="s">
        <v>467</v>
      </c>
      <c r="D260" s="40" t="s">
        <v>821</v>
      </c>
      <c r="E260" s="48"/>
      <c r="F260" s="48"/>
      <c r="G260" s="48"/>
      <c r="H260" s="48">
        <v>3050</v>
      </c>
      <c r="I260" s="48">
        <v>610</v>
      </c>
      <c r="J260" s="48">
        <v>70</v>
      </c>
      <c r="K260" s="49">
        <v>540</v>
      </c>
      <c r="L260" s="49"/>
      <c r="M260" s="49"/>
      <c r="N260" s="49"/>
      <c r="O260" s="49">
        <v>1</v>
      </c>
      <c r="P260" s="49">
        <v>1</v>
      </c>
      <c r="Q260" s="49"/>
      <c r="R260" s="49"/>
      <c r="S260" s="49"/>
      <c r="T260" s="41" t="s">
        <v>468</v>
      </c>
      <c r="U260" s="42">
        <v>56405926.4</v>
      </c>
      <c r="V260" s="42">
        <v>13800000</v>
      </c>
      <c r="W260" s="42">
        <v>12394368</v>
      </c>
      <c r="X260" s="42"/>
      <c r="Y260" s="42"/>
      <c r="Z260" s="42"/>
      <c r="AA260" s="127">
        <f aca="true" t="shared" si="4" ref="AA260:AA323">+U260+V260+W260+X260+Y260+Z260</f>
        <v>82600294.4</v>
      </c>
      <c r="AB260" s="43" t="s">
        <v>469</v>
      </c>
    </row>
    <row r="261" spans="1:28" ht="12.75">
      <c r="A261" s="38">
        <v>35977</v>
      </c>
      <c r="B261" s="39" t="s">
        <v>820</v>
      </c>
      <c r="C261" s="40" t="s">
        <v>492</v>
      </c>
      <c r="D261" s="40" t="s">
        <v>821</v>
      </c>
      <c r="E261" s="48"/>
      <c r="F261" s="48"/>
      <c r="G261" s="48"/>
      <c r="H261" s="48">
        <v>230</v>
      </c>
      <c r="I261" s="48">
        <v>46</v>
      </c>
      <c r="J261" s="48">
        <v>46</v>
      </c>
      <c r="K261" s="49"/>
      <c r="L261" s="49"/>
      <c r="M261" s="49"/>
      <c r="N261" s="49"/>
      <c r="O261" s="49"/>
      <c r="P261" s="49"/>
      <c r="Q261" s="49"/>
      <c r="R261" s="49">
        <v>9</v>
      </c>
      <c r="S261" s="49"/>
      <c r="T261" s="41"/>
      <c r="U261" s="42"/>
      <c r="V261" s="42"/>
      <c r="W261" s="42"/>
      <c r="X261" s="42"/>
      <c r="Y261" s="42"/>
      <c r="Z261" s="42"/>
      <c r="AA261" s="127">
        <f t="shared" si="4"/>
        <v>0</v>
      </c>
      <c r="AB261" s="43" t="s">
        <v>493</v>
      </c>
    </row>
    <row r="262" spans="1:28" ht="16.5">
      <c r="A262" s="38">
        <v>35977</v>
      </c>
      <c r="B262" s="39" t="s">
        <v>432</v>
      </c>
      <c r="C262" s="40" t="s">
        <v>432</v>
      </c>
      <c r="D262" s="40" t="s">
        <v>821</v>
      </c>
      <c r="E262" s="48"/>
      <c r="F262" s="48"/>
      <c r="G262" s="48"/>
      <c r="H262" s="48">
        <v>250</v>
      </c>
      <c r="I262" s="48">
        <v>50</v>
      </c>
      <c r="J262" s="48"/>
      <c r="K262" s="49">
        <v>12</v>
      </c>
      <c r="L262" s="49">
        <v>1</v>
      </c>
      <c r="M262" s="49"/>
      <c r="N262" s="49"/>
      <c r="O262" s="49"/>
      <c r="P262" s="49"/>
      <c r="Q262" s="49"/>
      <c r="R262" s="49"/>
      <c r="S262" s="49"/>
      <c r="T262" s="41"/>
      <c r="U262" s="42"/>
      <c r="V262" s="42"/>
      <c r="W262" s="42"/>
      <c r="X262" s="42"/>
      <c r="Y262" s="42"/>
      <c r="Z262" s="42"/>
      <c r="AA262" s="127">
        <f t="shared" si="4"/>
        <v>0</v>
      </c>
      <c r="AB262" s="43" t="s">
        <v>498</v>
      </c>
    </row>
    <row r="263" spans="1:28" ht="41.25">
      <c r="A263" s="38">
        <v>35977</v>
      </c>
      <c r="B263" s="39" t="s">
        <v>126</v>
      </c>
      <c r="C263" s="40" t="s">
        <v>875</v>
      </c>
      <c r="D263" s="40" t="s">
        <v>821</v>
      </c>
      <c r="E263" s="48"/>
      <c r="F263" s="48"/>
      <c r="G263" s="48"/>
      <c r="H263" s="48">
        <v>2569</v>
      </c>
      <c r="I263" s="48">
        <v>538</v>
      </c>
      <c r="J263" s="48"/>
      <c r="K263" s="49"/>
      <c r="L263" s="49"/>
      <c r="M263" s="49"/>
      <c r="N263" s="49"/>
      <c r="O263" s="49"/>
      <c r="P263" s="49"/>
      <c r="Q263" s="49"/>
      <c r="R263" s="49"/>
      <c r="S263" s="49"/>
      <c r="T263" s="41"/>
      <c r="U263" s="42">
        <v>39383666.10000001</v>
      </c>
      <c r="V263" s="42"/>
      <c r="W263" s="42"/>
      <c r="X263" s="42"/>
      <c r="Y263" s="42"/>
      <c r="Z263" s="42"/>
      <c r="AA263" s="127">
        <f t="shared" si="4"/>
        <v>39383666.10000001</v>
      </c>
      <c r="AB263" s="43" t="s">
        <v>509</v>
      </c>
    </row>
    <row r="264" spans="1:28" ht="22.5">
      <c r="A264" s="38">
        <v>35977</v>
      </c>
      <c r="B264" s="39" t="s">
        <v>877</v>
      </c>
      <c r="C264" s="40" t="s">
        <v>533</v>
      </c>
      <c r="D264" s="40" t="s">
        <v>891</v>
      </c>
      <c r="E264" s="48"/>
      <c r="F264" s="48"/>
      <c r="G264" s="48"/>
      <c r="H264" s="48">
        <v>100</v>
      </c>
      <c r="I264" s="48">
        <v>20</v>
      </c>
      <c r="J264" s="48"/>
      <c r="K264" s="49"/>
      <c r="L264" s="49"/>
      <c r="M264" s="49"/>
      <c r="N264" s="49"/>
      <c r="O264" s="49"/>
      <c r="P264" s="49"/>
      <c r="Q264" s="49"/>
      <c r="R264" s="49"/>
      <c r="S264" s="49"/>
      <c r="T264" s="41"/>
      <c r="U264" s="42"/>
      <c r="V264" s="42"/>
      <c r="W264" s="42"/>
      <c r="X264" s="42"/>
      <c r="Y264" s="42"/>
      <c r="Z264" s="42"/>
      <c r="AA264" s="127">
        <f t="shared" si="4"/>
        <v>0</v>
      </c>
      <c r="AB264" s="43"/>
    </row>
    <row r="265" spans="1:28" ht="12.75">
      <c r="A265" s="38">
        <v>35977</v>
      </c>
      <c r="B265" s="39" t="s">
        <v>877</v>
      </c>
      <c r="C265" s="40" t="s">
        <v>875</v>
      </c>
      <c r="D265" s="40" t="s">
        <v>821</v>
      </c>
      <c r="E265" s="48"/>
      <c r="F265" s="48"/>
      <c r="G265" s="48"/>
      <c r="H265" s="48"/>
      <c r="I265" s="48"/>
      <c r="J265" s="48"/>
      <c r="K265" s="49"/>
      <c r="L265" s="49"/>
      <c r="M265" s="49"/>
      <c r="N265" s="49"/>
      <c r="O265" s="49"/>
      <c r="P265" s="49"/>
      <c r="Q265" s="49"/>
      <c r="R265" s="49"/>
      <c r="S265" s="49"/>
      <c r="T265" s="41"/>
      <c r="U265" s="42"/>
      <c r="V265" s="42"/>
      <c r="W265" s="42"/>
      <c r="X265" s="42">
        <v>18205040</v>
      </c>
      <c r="Y265" s="42"/>
      <c r="Z265" s="42"/>
      <c r="AA265" s="127">
        <f t="shared" si="4"/>
        <v>18205040</v>
      </c>
      <c r="AB265" s="43" t="s">
        <v>518</v>
      </c>
    </row>
    <row r="266" spans="1:28" ht="12.75">
      <c r="A266" s="38">
        <v>35977</v>
      </c>
      <c r="B266" s="39" t="s">
        <v>877</v>
      </c>
      <c r="C266" s="40" t="s">
        <v>517</v>
      </c>
      <c r="D266" s="40" t="s">
        <v>821</v>
      </c>
      <c r="E266" s="48"/>
      <c r="F266" s="48"/>
      <c r="G266" s="48"/>
      <c r="H266" s="48">
        <v>700</v>
      </c>
      <c r="I266" s="48">
        <v>140</v>
      </c>
      <c r="J266" s="48"/>
      <c r="K266" s="49"/>
      <c r="L266" s="49"/>
      <c r="M266" s="49"/>
      <c r="N266" s="49"/>
      <c r="O266" s="49"/>
      <c r="P266" s="49"/>
      <c r="Q266" s="49"/>
      <c r="R266" s="49"/>
      <c r="S266" s="49"/>
      <c r="T266" s="41"/>
      <c r="U266" s="42"/>
      <c r="V266" s="42">
        <v>2875000</v>
      </c>
      <c r="W266" s="42"/>
      <c r="X266" s="42"/>
      <c r="Y266" s="42"/>
      <c r="Z266" s="42"/>
      <c r="AA266" s="127">
        <f t="shared" si="4"/>
        <v>2875000</v>
      </c>
      <c r="AB266" s="43"/>
    </row>
    <row r="267" spans="1:28" ht="12.75">
      <c r="A267" s="38">
        <v>35977</v>
      </c>
      <c r="B267" s="39" t="s">
        <v>877</v>
      </c>
      <c r="C267" s="40" t="s">
        <v>68</v>
      </c>
      <c r="D267" s="40" t="s">
        <v>821</v>
      </c>
      <c r="E267" s="48"/>
      <c r="F267" s="48"/>
      <c r="G267" s="48"/>
      <c r="H267" s="48">
        <v>13085</v>
      </c>
      <c r="I267" s="48">
        <v>2617</v>
      </c>
      <c r="J267" s="48"/>
      <c r="K267" s="49"/>
      <c r="L267" s="49"/>
      <c r="M267" s="49"/>
      <c r="N267" s="49"/>
      <c r="O267" s="49"/>
      <c r="P267" s="49"/>
      <c r="Q267" s="49"/>
      <c r="R267" s="49"/>
      <c r="S267" s="49"/>
      <c r="T267" s="41"/>
      <c r="U267" s="42">
        <v>16862880</v>
      </c>
      <c r="V267" s="42">
        <v>2576000</v>
      </c>
      <c r="W267" s="42"/>
      <c r="X267" s="42">
        <v>2644800</v>
      </c>
      <c r="Y267" s="42"/>
      <c r="Z267" s="42"/>
      <c r="AA267" s="127">
        <f t="shared" si="4"/>
        <v>22083680</v>
      </c>
      <c r="AB267" s="43"/>
    </row>
    <row r="268" spans="1:28" ht="12.75">
      <c r="A268" s="38">
        <v>35977</v>
      </c>
      <c r="B268" s="39" t="s">
        <v>877</v>
      </c>
      <c r="C268" s="40" t="s">
        <v>519</v>
      </c>
      <c r="D268" s="40" t="s">
        <v>821</v>
      </c>
      <c r="E268" s="48"/>
      <c r="F268" s="48"/>
      <c r="G268" s="48"/>
      <c r="H268" s="48">
        <v>400</v>
      </c>
      <c r="I268" s="48">
        <v>80</v>
      </c>
      <c r="J268" s="48"/>
      <c r="K268" s="49"/>
      <c r="L268" s="49"/>
      <c r="M268" s="49"/>
      <c r="N268" s="49"/>
      <c r="O268" s="49"/>
      <c r="P268" s="49"/>
      <c r="Q268" s="49"/>
      <c r="R268" s="49"/>
      <c r="S268" s="49"/>
      <c r="T268" s="41"/>
      <c r="U268" s="42"/>
      <c r="V268" s="42">
        <v>1564000</v>
      </c>
      <c r="W268" s="42"/>
      <c r="X268" s="42"/>
      <c r="Y268" s="42"/>
      <c r="Z268" s="42"/>
      <c r="AA268" s="127">
        <f t="shared" si="4"/>
        <v>1564000</v>
      </c>
      <c r="AB268" s="43"/>
    </row>
    <row r="269" spans="1:28" ht="33">
      <c r="A269" s="38">
        <v>35977</v>
      </c>
      <c r="B269" s="39" t="s">
        <v>877</v>
      </c>
      <c r="C269" s="40" t="s">
        <v>875</v>
      </c>
      <c r="D269" s="40" t="s">
        <v>821</v>
      </c>
      <c r="E269" s="48"/>
      <c r="F269" s="48"/>
      <c r="G269" s="48"/>
      <c r="H269" s="48"/>
      <c r="I269" s="48"/>
      <c r="J269" s="48"/>
      <c r="K269" s="49"/>
      <c r="L269" s="49"/>
      <c r="M269" s="49"/>
      <c r="N269" s="49"/>
      <c r="O269" s="49"/>
      <c r="P269" s="49"/>
      <c r="Q269" s="49"/>
      <c r="R269" s="49"/>
      <c r="S269" s="49"/>
      <c r="T269" s="41"/>
      <c r="U269" s="42"/>
      <c r="V269" s="42"/>
      <c r="W269" s="42"/>
      <c r="X269" s="42">
        <v>8110720</v>
      </c>
      <c r="Y269" s="42"/>
      <c r="Z269" s="42"/>
      <c r="AA269" s="127">
        <f t="shared" si="4"/>
        <v>8110720</v>
      </c>
      <c r="AB269" s="43" t="s">
        <v>647</v>
      </c>
    </row>
    <row r="270" spans="1:28" ht="22.5">
      <c r="A270" s="38">
        <v>35977</v>
      </c>
      <c r="B270" s="39" t="s">
        <v>893</v>
      </c>
      <c r="C270" s="40" t="s">
        <v>560</v>
      </c>
      <c r="D270" s="40" t="s">
        <v>911</v>
      </c>
      <c r="E270" s="48"/>
      <c r="F270" s="48"/>
      <c r="G270" s="48"/>
      <c r="H270" s="48">
        <v>288</v>
      </c>
      <c r="I270" s="48">
        <v>48</v>
      </c>
      <c r="J270" s="48"/>
      <c r="K270" s="49">
        <v>48</v>
      </c>
      <c r="L270" s="49"/>
      <c r="M270" s="49"/>
      <c r="N270" s="49"/>
      <c r="O270" s="49"/>
      <c r="P270" s="49"/>
      <c r="Q270" s="49"/>
      <c r="R270" s="49"/>
      <c r="S270" s="49"/>
      <c r="T270" s="41"/>
      <c r="U270" s="42"/>
      <c r="V270" s="42"/>
      <c r="W270" s="42">
        <v>6843999.999999999</v>
      </c>
      <c r="X270" s="42"/>
      <c r="Y270" s="42"/>
      <c r="Z270" s="42"/>
      <c r="AA270" s="127">
        <f t="shared" si="4"/>
        <v>6843999.999999999</v>
      </c>
      <c r="AB270" s="43" t="s">
        <v>563</v>
      </c>
    </row>
    <row r="271" spans="1:28" ht="24.75">
      <c r="A271" s="38">
        <v>35977</v>
      </c>
      <c r="B271" s="39" t="s">
        <v>92</v>
      </c>
      <c r="C271" s="40" t="s">
        <v>564</v>
      </c>
      <c r="D271" s="40" t="s">
        <v>821</v>
      </c>
      <c r="E271" s="48"/>
      <c r="F271" s="48"/>
      <c r="G271" s="48">
        <v>9</v>
      </c>
      <c r="H271" s="48">
        <v>2684</v>
      </c>
      <c r="I271" s="48">
        <v>585</v>
      </c>
      <c r="J271" s="48"/>
      <c r="K271" s="49"/>
      <c r="L271" s="49"/>
      <c r="M271" s="49"/>
      <c r="N271" s="49"/>
      <c r="O271" s="49"/>
      <c r="P271" s="49"/>
      <c r="Q271" s="49"/>
      <c r="R271" s="49"/>
      <c r="S271" s="49"/>
      <c r="T271" s="41"/>
      <c r="U271" s="42">
        <v>20698451.200000003</v>
      </c>
      <c r="V271" s="42">
        <v>13455000</v>
      </c>
      <c r="W271" s="42"/>
      <c r="X271" s="42"/>
      <c r="Y271" s="42"/>
      <c r="Z271" s="42"/>
      <c r="AA271" s="127">
        <f t="shared" si="4"/>
        <v>34153451.2</v>
      </c>
      <c r="AB271" s="43" t="s">
        <v>565</v>
      </c>
    </row>
    <row r="272" spans="1:28" ht="12.75">
      <c r="A272" s="38">
        <v>35977</v>
      </c>
      <c r="B272" s="39" t="s">
        <v>574</v>
      </c>
      <c r="C272" s="40" t="s">
        <v>575</v>
      </c>
      <c r="D272" s="40" t="s">
        <v>821</v>
      </c>
      <c r="E272" s="48"/>
      <c r="F272" s="48"/>
      <c r="G272" s="48"/>
      <c r="H272" s="48">
        <v>210</v>
      </c>
      <c r="I272" s="48">
        <v>50</v>
      </c>
      <c r="J272" s="48"/>
      <c r="K272" s="49"/>
      <c r="L272" s="49"/>
      <c r="M272" s="49"/>
      <c r="N272" s="49"/>
      <c r="O272" s="49"/>
      <c r="P272" s="49"/>
      <c r="Q272" s="49"/>
      <c r="R272" s="49"/>
      <c r="S272" s="49"/>
      <c r="T272" s="41"/>
      <c r="U272" s="42"/>
      <c r="V272" s="42">
        <v>4600000</v>
      </c>
      <c r="W272" s="42"/>
      <c r="X272" s="42"/>
      <c r="Y272" s="42"/>
      <c r="Z272" s="42"/>
      <c r="AA272" s="127">
        <f t="shared" si="4"/>
        <v>4600000</v>
      </c>
      <c r="AB272" s="43" t="s">
        <v>576</v>
      </c>
    </row>
    <row r="273" spans="1:28" ht="12.75">
      <c r="A273" s="38">
        <v>35979</v>
      </c>
      <c r="B273" s="39" t="s">
        <v>820</v>
      </c>
      <c r="C273" s="40" t="s">
        <v>490</v>
      </c>
      <c r="D273" s="40" t="s">
        <v>821</v>
      </c>
      <c r="E273" s="48"/>
      <c r="F273" s="48"/>
      <c r="G273" s="48"/>
      <c r="H273" s="48">
        <v>84</v>
      </c>
      <c r="I273" s="48">
        <v>21</v>
      </c>
      <c r="J273" s="48"/>
      <c r="K273" s="49"/>
      <c r="L273" s="49"/>
      <c r="M273" s="49"/>
      <c r="N273" s="49"/>
      <c r="O273" s="49"/>
      <c r="P273" s="49"/>
      <c r="Q273" s="49"/>
      <c r="R273" s="49"/>
      <c r="S273" s="49"/>
      <c r="T273" s="41"/>
      <c r="U273" s="42">
        <v>2352149.1</v>
      </c>
      <c r="V273" s="42"/>
      <c r="W273" s="42"/>
      <c r="X273" s="42"/>
      <c r="Y273" s="42"/>
      <c r="Z273" s="42"/>
      <c r="AA273" s="127">
        <f t="shared" si="4"/>
        <v>2352149.1</v>
      </c>
      <c r="AB273" s="43" t="s">
        <v>491</v>
      </c>
    </row>
    <row r="274" spans="1:28" ht="33">
      <c r="A274" s="38">
        <v>35979</v>
      </c>
      <c r="B274" s="39" t="s">
        <v>13</v>
      </c>
      <c r="C274" s="40" t="s">
        <v>512</v>
      </c>
      <c r="D274" s="40" t="s">
        <v>884</v>
      </c>
      <c r="E274" s="48"/>
      <c r="F274" s="48"/>
      <c r="G274" s="48"/>
      <c r="H274" s="48"/>
      <c r="I274" s="48"/>
      <c r="J274" s="48"/>
      <c r="K274" s="49"/>
      <c r="L274" s="49"/>
      <c r="M274" s="49"/>
      <c r="N274" s="49"/>
      <c r="O274" s="49"/>
      <c r="P274" s="49"/>
      <c r="Q274" s="49"/>
      <c r="R274" s="49"/>
      <c r="S274" s="49"/>
      <c r="T274" s="41"/>
      <c r="U274" s="42"/>
      <c r="V274" s="42"/>
      <c r="W274" s="42"/>
      <c r="X274" s="42"/>
      <c r="Y274" s="42"/>
      <c r="Z274" s="42"/>
      <c r="AA274" s="127">
        <f t="shared" si="4"/>
        <v>0</v>
      </c>
      <c r="AB274" s="43" t="s">
        <v>513</v>
      </c>
    </row>
    <row r="275" spans="1:28" ht="16.5">
      <c r="A275" s="38">
        <v>35979</v>
      </c>
      <c r="B275" s="39" t="s">
        <v>889</v>
      </c>
      <c r="C275" s="40" t="s">
        <v>85</v>
      </c>
      <c r="D275" s="40" t="s">
        <v>82</v>
      </c>
      <c r="E275" s="48"/>
      <c r="F275" s="48"/>
      <c r="G275" s="48"/>
      <c r="H275" s="48"/>
      <c r="I275" s="48"/>
      <c r="J275" s="48"/>
      <c r="K275" s="49"/>
      <c r="L275" s="49"/>
      <c r="M275" s="49"/>
      <c r="N275" s="49"/>
      <c r="O275" s="49"/>
      <c r="P275" s="49"/>
      <c r="Q275" s="49"/>
      <c r="R275" s="49"/>
      <c r="S275" s="49"/>
      <c r="T275" s="41"/>
      <c r="U275" s="42"/>
      <c r="V275" s="42"/>
      <c r="W275" s="42"/>
      <c r="X275" s="42"/>
      <c r="Y275" s="42"/>
      <c r="Z275" s="42"/>
      <c r="AA275" s="127">
        <f t="shared" si="4"/>
        <v>0</v>
      </c>
      <c r="AB275" s="43" t="s">
        <v>559</v>
      </c>
    </row>
    <row r="276" spans="1:28" ht="12.75">
      <c r="A276" s="38">
        <v>35982</v>
      </c>
      <c r="B276" s="39" t="s">
        <v>829</v>
      </c>
      <c r="C276" s="40" t="s">
        <v>508</v>
      </c>
      <c r="D276" s="40" t="s">
        <v>107</v>
      </c>
      <c r="E276" s="48"/>
      <c r="F276" s="48"/>
      <c r="G276" s="48"/>
      <c r="H276" s="48">
        <v>60</v>
      </c>
      <c r="I276" s="48">
        <v>15</v>
      </c>
      <c r="J276" s="48"/>
      <c r="K276" s="49"/>
      <c r="L276" s="49">
        <v>1</v>
      </c>
      <c r="M276" s="49"/>
      <c r="N276" s="49"/>
      <c r="O276" s="49"/>
      <c r="P276" s="49"/>
      <c r="Q276" s="49"/>
      <c r="R276" s="49"/>
      <c r="S276" s="49"/>
      <c r="T276" s="41"/>
      <c r="U276" s="42">
        <v>591667.65</v>
      </c>
      <c r="V276" s="42">
        <v>345000</v>
      </c>
      <c r="W276" s="42"/>
      <c r="X276" s="42"/>
      <c r="Y276" s="42"/>
      <c r="Z276" s="42"/>
      <c r="AA276" s="127">
        <f t="shared" si="4"/>
        <v>936667.65</v>
      </c>
      <c r="AB276" s="43"/>
    </row>
    <row r="277" spans="1:28" ht="16.5">
      <c r="A277" s="38">
        <v>35982</v>
      </c>
      <c r="B277" s="39" t="s">
        <v>11</v>
      </c>
      <c r="C277" s="40" t="s">
        <v>510</v>
      </c>
      <c r="D277" s="40" t="s">
        <v>821</v>
      </c>
      <c r="E277" s="48"/>
      <c r="F277" s="48"/>
      <c r="G277" s="48"/>
      <c r="H277" s="48">
        <v>52</v>
      </c>
      <c r="I277" s="48">
        <v>19</v>
      </c>
      <c r="J277" s="48"/>
      <c r="K277" s="49"/>
      <c r="L277" s="49"/>
      <c r="M277" s="49"/>
      <c r="N277" s="49"/>
      <c r="O277" s="49"/>
      <c r="P277" s="49"/>
      <c r="Q277" s="49"/>
      <c r="R277" s="49"/>
      <c r="S277" s="49"/>
      <c r="T277" s="41"/>
      <c r="U277" s="42"/>
      <c r="V277" s="42"/>
      <c r="W277" s="42"/>
      <c r="X277" s="42"/>
      <c r="Y277" s="42"/>
      <c r="Z277" s="42"/>
      <c r="AA277" s="127">
        <f t="shared" si="4"/>
        <v>0</v>
      </c>
      <c r="AB277" s="43" t="s">
        <v>511</v>
      </c>
    </row>
    <row r="278" spans="1:28" ht="12.75">
      <c r="A278" s="38">
        <v>35982</v>
      </c>
      <c r="B278" s="39" t="s">
        <v>877</v>
      </c>
      <c r="C278" s="40" t="s">
        <v>525</v>
      </c>
      <c r="D278" s="40" t="s">
        <v>821</v>
      </c>
      <c r="E278" s="48"/>
      <c r="F278" s="48"/>
      <c r="G278" s="48"/>
      <c r="H278" s="48">
        <v>135</v>
      </c>
      <c r="I278" s="48">
        <v>27</v>
      </c>
      <c r="J278" s="48"/>
      <c r="K278" s="49"/>
      <c r="L278" s="49"/>
      <c r="M278" s="49"/>
      <c r="N278" s="49"/>
      <c r="O278" s="49"/>
      <c r="P278" s="49"/>
      <c r="Q278" s="49"/>
      <c r="R278" s="49"/>
      <c r="S278" s="49"/>
      <c r="T278" s="41"/>
      <c r="U278" s="42"/>
      <c r="V278" s="42"/>
      <c r="W278" s="42"/>
      <c r="X278" s="42"/>
      <c r="Y278" s="42"/>
      <c r="Z278" s="42"/>
      <c r="AA278" s="127">
        <f t="shared" si="4"/>
        <v>0</v>
      </c>
      <c r="AB278" s="43" t="s">
        <v>526</v>
      </c>
    </row>
    <row r="279" spans="1:28" ht="12.75">
      <c r="A279" s="38">
        <v>35982</v>
      </c>
      <c r="B279" s="39" t="s">
        <v>877</v>
      </c>
      <c r="C279" s="40" t="s">
        <v>527</v>
      </c>
      <c r="D279" s="40" t="s">
        <v>821</v>
      </c>
      <c r="E279" s="48"/>
      <c r="F279" s="48"/>
      <c r="G279" s="48"/>
      <c r="H279" s="48">
        <v>490</v>
      </c>
      <c r="I279" s="48">
        <v>98</v>
      </c>
      <c r="J279" s="48"/>
      <c r="K279" s="49"/>
      <c r="L279" s="49"/>
      <c r="M279" s="49"/>
      <c r="N279" s="49"/>
      <c r="O279" s="49"/>
      <c r="P279" s="49"/>
      <c r="Q279" s="49"/>
      <c r="R279" s="49"/>
      <c r="S279" s="49"/>
      <c r="T279" s="41"/>
      <c r="U279" s="42"/>
      <c r="V279" s="42">
        <v>1955000</v>
      </c>
      <c r="W279" s="42"/>
      <c r="X279" s="42"/>
      <c r="Y279" s="42"/>
      <c r="Z279" s="42"/>
      <c r="AA279" s="127">
        <f t="shared" si="4"/>
        <v>1955000</v>
      </c>
      <c r="AB279" s="43"/>
    </row>
    <row r="280" spans="1:28" ht="12.75">
      <c r="A280" s="38">
        <v>35982</v>
      </c>
      <c r="B280" s="39" t="s">
        <v>877</v>
      </c>
      <c r="C280" s="40" t="s">
        <v>528</v>
      </c>
      <c r="D280" s="40" t="s">
        <v>821</v>
      </c>
      <c r="E280" s="48"/>
      <c r="F280" s="48"/>
      <c r="G280" s="48"/>
      <c r="H280" s="48">
        <v>490</v>
      </c>
      <c r="I280" s="48">
        <v>98</v>
      </c>
      <c r="J280" s="48"/>
      <c r="K280" s="49"/>
      <c r="L280" s="49"/>
      <c r="M280" s="49"/>
      <c r="N280" s="49"/>
      <c r="O280" s="49"/>
      <c r="P280" s="49"/>
      <c r="Q280" s="49"/>
      <c r="R280" s="49"/>
      <c r="S280" s="49"/>
      <c r="T280" s="41"/>
      <c r="U280" s="42"/>
      <c r="V280" s="42">
        <v>1955000</v>
      </c>
      <c r="W280" s="42"/>
      <c r="X280" s="42"/>
      <c r="Y280" s="42"/>
      <c r="Z280" s="42"/>
      <c r="AA280" s="127">
        <f t="shared" si="4"/>
        <v>1955000</v>
      </c>
      <c r="AB280" s="43"/>
    </row>
    <row r="281" spans="1:28" ht="12.75">
      <c r="A281" s="38">
        <v>35982</v>
      </c>
      <c r="B281" s="39" t="s">
        <v>877</v>
      </c>
      <c r="C281" s="40" t="s">
        <v>285</v>
      </c>
      <c r="D281" s="40" t="s">
        <v>821</v>
      </c>
      <c r="E281" s="48"/>
      <c r="F281" s="48"/>
      <c r="G281" s="48"/>
      <c r="H281" s="48">
        <v>165</v>
      </c>
      <c r="I281" s="48">
        <v>33</v>
      </c>
      <c r="J281" s="48"/>
      <c r="K281" s="49"/>
      <c r="L281" s="49"/>
      <c r="M281" s="49"/>
      <c r="N281" s="49"/>
      <c r="O281" s="49"/>
      <c r="P281" s="49"/>
      <c r="Q281" s="49"/>
      <c r="R281" s="49"/>
      <c r="S281" s="49"/>
      <c r="T281" s="41"/>
      <c r="U281" s="42"/>
      <c r="V281" s="42">
        <v>460000</v>
      </c>
      <c r="W281" s="42"/>
      <c r="X281" s="42"/>
      <c r="Y281" s="42"/>
      <c r="Z281" s="42"/>
      <c r="AA281" s="127">
        <f t="shared" si="4"/>
        <v>460000</v>
      </c>
      <c r="AB281" s="43"/>
    </row>
    <row r="282" spans="1:28" ht="12.75">
      <c r="A282" s="38">
        <v>35982</v>
      </c>
      <c r="B282" s="39" t="s">
        <v>877</v>
      </c>
      <c r="C282" s="40" t="s">
        <v>530</v>
      </c>
      <c r="D282" s="40" t="s">
        <v>821</v>
      </c>
      <c r="E282" s="48"/>
      <c r="F282" s="48"/>
      <c r="G282" s="48"/>
      <c r="H282" s="48">
        <v>140</v>
      </c>
      <c r="I282" s="48">
        <v>28</v>
      </c>
      <c r="J282" s="48"/>
      <c r="K282" s="49"/>
      <c r="L282" s="49"/>
      <c r="M282" s="49"/>
      <c r="N282" s="49"/>
      <c r="O282" s="49"/>
      <c r="P282" s="49"/>
      <c r="Q282" s="49"/>
      <c r="R282" s="49"/>
      <c r="S282" s="49"/>
      <c r="T282" s="41"/>
      <c r="U282" s="42"/>
      <c r="V282" s="42">
        <v>345000</v>
      </c>
      <c r="W282" s="42"/>
      <c r="X282" s="42"/>
      <c r="Y282" s="42"/>
      <c r="Z282" s="42"/>
      <c r="AA282" s="127">
        <f t="shared" si="4"/>
        <v>345000</v>
      </c>
      <c r="AB282" s="43"/>
    </row>
    <row r="283" spans="1:28" ht="22.5">
      <c r="A283" s="38">
        <v>35982</v>
      </c>
      <c r="B283" s="39" t="s">
        <v>877</v>
      </c>
      <c r="C283" s="40" t="s">
        <v>279</v>
      </c>
      <c r="D283" s="40" t="s">
        <v>821</v>
      </c>
      <c r="E283" s="48"/>
      <c r="F283" s="48"/>
      <c r="G283" s="48"/>
      <c r="H283" s="48">
        <v>120</v>
      </c>
      <c r="I283" s="48">
        <v>24</v>
      </c>
      <c r="J283" s="48"/>
      <c r="K283" s="49"/>
      <c r="L283" s="49"/>
      <c r="M283" s="49"/>
      <c r="N283" s="49"/>
      <c r="O283" s="49"/>
      <c r="P283" s="49"/>
      <c r="Q283" s="49"/>
      <c r="R283" s="49"/>
      <c r="S283" s="49"/>
      <c r="T283" s="41"/>
      <c r="U283" s="42"/>
      <c r="V283" s="42">
        <v>322000</v>
      </c>
      <c r="W283" s="42"/>
      <c r="X283" s="42"/>
      <c r="Y283" s="42"/>
      <c r="Z283" s="42"/>
      <c r="AA283" s="127">
        <f t="shared" si="4"/>
        <v>322000</v>
      </c>
      <c r="AB283" s="43"/>
    </row>
    <row r="284" spans="1:28" ht="12.75">
      <c r="A284" s="38">
        <v>35982</v>
      </c>
      <c r="B284" s="39" t="s">
        <v>877</v>
      </c>
      <c r="C284" s="40" t="s">
        <v>878</v>
      </c>
      <c r="D284" s="40" t="s">
        <v>821</v>
      </c>
      <c r="E284" s="48"/>
      <c r="F284" s="48"/>
      <c r="G284" s="48"/>
      <c r="H284" s="48">
        <v>350</v>
      </c>
      <c r="I284" s="48">
        <v>70</v>
      </c>
      <c r="J284" s="48"/>
      <c r="K284" s="49"/>
      <c r="L284" s="49"/>
      <c r="M284" s="49"/>
      <c r="N284" s="49"/>
      <c r="O284" s="49"/>
      <c r="P284" s="49"/>
      <c r="Q284" s="49"/>
      <c r="R284" s="49"/>
      <c r="S284" s="49"/>
      <c r="T284" s="41"/>
      <c r="U284" s="42"/>
      <c r="V284" s="42">
        <v>1311000</v>
      </c>
      <c r="W284" s="42"/>
      <c r="X284" s="42"/>
      <c r="Y284" s="42"/>
      <c r="Z284" s="42"/>
      <c r="AA284" s="127">
        <f t="shared" si="4"/>
        <v>1311000</v>
      </c>
      <c r="AB284" s="43"/>
    </row>
    <row r="285" spans="1:28" ht="12.75">
      <c r="A285" s="38">
        <v>35982</v>
      </c>
      <c r="B285" s="39" t="s">
        <v>877</v>
      </c>
      <c r="C285" s="40" t="s">
        <v>531</v>
      </c>
      <c r="D285" s="40" t="s">
        <v>821</v>
      </c>
      <c r="E285" s="48"/>
      <c r="F285" s="48"/>
      <c r="G285" s="48"/>
      <c r="H285" s="48">
        <v>300</v>
      </c>
      <c r="I285" s="48">
        <v>60</v>
      </c>
      <c r="J285" s="48"/>
      <c r="K285" s="49"/>
      <c r="L285" s="49"/>
      <c r="M285" s="49"/>
      <c r="N285" s="49"/>
      <c r="O285" s="49"/>
      <c r="P285" s="49"/>
      <c r="Q285" s="49"/>
      <c r="R285" s="49"/>
      <c r="S285" s="49"/>
      <c r="T285" s="41"/>
      <c r="U285" s="42"/>
      <c r="V285" s="42">
        <v>1081000</v>
      </c>
      <c r="W285" s="42"/>
      <c r="X285" s="42"/>
      <c r="Y285" s="42"/>
      <c r="Z285" s="42"/>
      <c r="AA285" s="127">
        <f t="shared" si="4"/>
        <v>1081000</v>
      </c>
      <c r="AB285" s="43"/>
    </row>
    <row r="286" spans="1:28" ht="12.75">
      <c r="A286" s="38">
        <v>35982</v>
      </c>
      <c r="B286" s="39" t="s">
        <v>877</v>
      </c>
      <c r="C286" s="40" t="s">
        <v>532</v>
      </c>
      <c r="D286" s="40" t="s">
        <v>821</v>
      </c>
      <c r="E286" s="48"/>
      <c r="F286" s="48"/>
      <c r="G286" s="48"/>
      <c r="H286" s="48">
        <v>450</v>
      </c>
      <c r="I286" s="48">
        <v>90</v>
      </c>
      <c r="J286" s="48"/>
      <c r="K286" s="49"/>
      <c r="L286" s="49"/>
      <c r="M286" s="49"/>
      <c r="N286" s="49"/>
      <c r="O286" s="49"/>
      <c r="P286" s="49"/>
      <c r="Q286" s="49"/>
      <c r="R286" s="49"/>
      <c r="S286" s="49"/>
      <c r="T286" s="41"/>
      <c r="U286" s="42"/>
      <c r="V286" s="42">
        <v>1794000</v>
      </c>
      <c r="W286" s="42"/>
      <c r="X286" s="42"/>
      <c r="Y286" s="42"/>
      <c r="Z286" s="42"/>
      <c r="AA286" s="127">
        <f t="shared" si="4"/>
        <v>1794000</v>
      </c>
      <c r="AB286" s="43"/>
    </row>
    <row r="287" spans="1:28" ht="12.75">
      <c r="A287" s="38">
        <v>35983</v>
      </c>
      <c r="B287" s="39" t="s">
        <v>310</v>
      </c>
      <c r="C287" s="40" t="s">
        <v>543</v>
      </c>
      <c r="D287" s="40" t="s">
        <v>821</v>
      </c>
      <c r="E287" s="48"/>
      <c r="F287" s="48"/>
      <c r="G287" s="48"/>
      <c r="H287" s="48">
        <v>600</v>
      </c>
      <c r="I287" s="48">
        <v>120</v>
      </c>
      <c r="J287" s="48">
        <v>6</v>
      </c>
      <c r="K287" s="49">
        <v>120</v>
      </c>
      <c r="L287" s="49"/>
      <c r="M287" s="49"/>
      <c r="N287" s="49"/>
      <c r="O287" s="49"/>
      <c r="P287" s="49"/>
      <c r="Q287" s="49"/>
      <c r="R287" s="49"/>
      <c r="S287" s="49"/>
      <c r="T287" s="41" t="s">
        <v>94</v>
      </c>
      <c r="U287" s="42">
        <v>12766496.850000001</v>
      </c>
      <c r="V287" s="42">
        <v>2760000</v>
      </c>
      <c r="W287" s="42"/>
      <c r="X287" s="42"/>
      <c r="Y287" s="42"/>
      <c r="Z287" s="42"/>
      <c r="AA287" s="127">
        <f t="shared" si="4"/>
        <v>15526496.850000001</v>
      </c>
      <c r="AB287" s="43"/>
    </row>
    <row r="288" spans="1:28" ht="22.5">
      <c r="A288" s="38">
        <v>35983</v>
      </c>
      <c r="B288" s="39" t="s">
        <v>310</v>
      </c>
      <c r="C288" s="40" t="s">
        <v>544</v>
      </c>
      <c r="D288" s="40" t="s">
        <v>821</v>
      </c>
      <c r="E288" s="48"/>
      <c r="F288" s="48"/>
      <c r="G288" s="48"/>
      <c r="H288" s="48">
        <v>240</v>
      </c>
      <c r="I288" s="48">
        <v>48</v>
      </c>
      <c r="J288" s="48"/>
      <c r="K288" s="49">
        <v>48</v>
      </c>
      <c r="L288" s="49"/>
      <c r="M288" s="49"/>
      <c r="N288" s="49"/>
      <c r="O288" s="49"/>
      <c r="P288" s="49"/>
      <c r="Q288" s="49"/>
      <c r="R288" s="49"/>
      <c r="S288" s="49"/>
      <c r="T288" s="41" t="s">
        <v>94</v>
      </c>
      <c r="U288" s="42">
        <v>4680810.6</v>
      </c>
      <c r="V288" s="42">
        <v>1380000</v>
      </c>
      <c r="W288" s="42"/>
      <c r="X288" s="42"/>
      <c r="Y288" s="42"/>
      <c r="Z288" s="42"/>
      <c r="AA288" s="127">
        <f t="shared" si="4"/>
        <v>6060810.6</v>
      </c>
      <c r="AB288" s="43"/>
    </row>
    <row r="289" spans="1:28" ht="12.75">
      <c r="A289" s="38">
        <v>35983</v>
      </c>
      <c r="B289" s="39" t="s">
        <v>310</v>
      </c>
      <c r="C289" s="40" t="s">
        <v>545</v>
      </c>
      <c r="D289" s="40" t="s">
        <v>821</v>
      </c>
      <c r="E289" s="48"/>
      <c r="F289" s="48"/>
      <c r="G289" s="48"/>
      <c r="H289" s="48">
        <v>300</v>
      </c>
      <c r="I289" s="48">
        <v>50</v>
      </c>
      <c r="J289" s="48"/>
      <c r="K289" s="49"/>
      <c r="L289" s="49">
        <v>1</v>
      </c>
      <c r="M289" s="49"/>
      <c r="N289" s="49"/>
      <c r="O289" s="49"/>
      <c r="P289" s="49"/>
      <c r="Q289" s="49"/>
      <c r="R289" s="49"/>
      <c r="S289" s="49"/>
      <c r="T289" s="41" t="s">
        <v>94</v>
      </c>
      <c r="U289" s="42">
        <v>5430779.36</v>
      </c>
      <c r="V289" s="42">
        <v>1150000</v>
      </c>
      <c r="W289" s="42"/>
      <c r="X289" s="42"/>
      <c r="Y289" s="42"/>
      <c r="Z289" s="42"/>
      <c r="AA289" s="127">
        <f t="shared" si="4"/>
        <v>6580779.36</v>
      </c>
      <c r="AB289" s="43"/>
    </row>
    <row r="290" spans="1:28" ht="12.75">
      <c r="A290" s="38">
        <v>35983</v>
      </c>
      <c r="B290" s="39" t="s">
        <v>310</v>
      </c>
      <c r="C290" s="40" t="s">
        <v>546</v>
      </c>
      <c r="D290" s="40" t="s">
        <v>821</v>
      </c>
      <c r="E290" s="48"/>
      <c r="F290" s="48"/>
      <c r="G290" s="48"/>
      <c r="H290" s="48">
        <v>300</v>
      </c>
      <c r="I290" s="48">
        <v>50</v>
      </c>
      <c r="J290" s="48"/>
      <c r="K290" s="49"/>
      <c r="L290" s="49"/>
      <c r="M290" s="49"/>
      <c r="N290" s="49"/>
      <c r="O290" s="49"/>
      <c r="P290" s="49"/>
      <c r="Q290" s="49"/>
      <c r="R290" s="49"/>
      <c r="S290" s="49"/>
      <c r="T290" s="41" t="s">
        <v>94</v>
      </c>
      <c r="U290" s="42">
        <v>1540019.5</v>
      </c>
      <c r="V290" s="42">
        <v>1150000</v>
      </c>
      <c r="W290" s="42"/>
      <c r="X290" s="42"/>
      <c r="Y290" s="42"/>
      <c r="Z290" s="42"/>
      <c r="AA290" s="127">
        <f t="shared" si="4"/>
        <v>2690019.5</v>
      </c>
      <c r="AB290" s="43"/>
    </row>
    <row r="291" spans="1:28" ht="12.75">
      <c r="A291" s="38">
        <v>35983</v>
      </c>
      <c r="B291" s="39" t="s">
        <v>310</v>
      </c>
      <c r="C291" s="40" t="s">
        <v>547</v>
      </c>
      <c r="D291" s="40" t="s">
        <v>821</v>
      </c>
      <c r="E291" s="48"/>
      <c r="F291" s="48"/>
      <c r="G291" s="48"/>
      <c r="H291" s="48"/>
      <c r="I291" s="48"/>
      <c r="J291" s="48"/>
      <c r="K291" s="49"/>
      <c r="L291" s="49"/>
      <c r="M291" s="49"/>
      <c r="N291" s="49"/>
      <c r="O291" s="49"/>
      <c r="P291" s="49"/>
      <c r="Q291" s="49"/>
      <c r="R291" s="49"/>
      <c r="S291" s="49"/>
      <c r="T291" s="41"/>
      <c r="U291" s="42"/>
      <c r="V291" s="42"/>
      <c r="W291" s="42"/>
      <c r="X291" s="42"/>
      <c r="Y291" s="42"/>
      <c r="Z291" s="42"/>
      <c r="AA291" s="127">
        <f t="shared" si="4"/>
        <v>0</v>
      </c>
      <c r="AB291" s="43" t="s">
        <v>294</v>
      </c>
    </row>
    <row r="292" spans="1:28" ht="12.75">
      <c r="A292" s="38">
        <v>35983</v>
      </c>
      <c r="B292" s="39" t="s">
        <v>310</v>
      </c>
      <c r="C292" s="40" t="s">
        <v>548</v>
      </c>
      <c r="D292" s="40" t="s">
        <v>821</v>
      </c>
      <c r="E292" s="48"/>
      <c r="F292" s="48"/>
      <c r="G292" s="48"/>
      <c r="H292" s="48">
        <v>435</v>
      </c>
      <c r="I292" s="48">
        <v>90</v>
      </c>
      <c r="J292" s="48"/>
      <c r="K292" s="49"/>
      <c r="L292" s="49"/>
      <c r="M292" s="49"/>
      <c r="N292" s="49"/>
      <c r="O292" s="49"/>
      <c r="P292" s="49"/>
      <c r="Q292" s="49"/>
      <c r="R292" s="49"/>
      <c r="S292" s="49"/>
      <c r="T292" s="41" t="s">
        <v>549</v>
      </c>
      <c r="U292" s="42">
        <v>9826406.31</v>
      </c>
      <c r="V292" s="42">
        <v>2070000</v>
      </c>
      <c r="W292" s="42"/>
      <c r="X292" s="42"/>
      <c r="Y292" s="42"/>
      <c r="Z292" s="42"/>
      <c r="AA292" s="127">
        <f t="shared" si="4"/>
        <v>11896406.31</v>
      </c>
      <c r="AB292" s="43" t="s">
        <v>550</v>
      </c>
    </row>
    <row r="293" spans="1:28" ht="22.5">
      <c r="A293" s="38">
        <v>35983</v>
      </c>
      <c r="B293" s="39" t="s">
        <v>310</v>
      </c>
      <c r="C293" s="40" t="s">
        <v>551</v>
      </c>
      <c r="D293" s="40" t="s">
        <v>821</v>
      </c>
      <c r="E293" s="48"/>
      <c r="F293" s="48"/>
      <c r="G293" s="48"/>
      <c r="H293" s="48"/>
      <c r="I293" s="48"/>
      <c r="J293" s="48"/>
      <c r="K293" s="49"/>
      <c r="L293" s="49">
        <v>1</v>
      </c>
      <c r="M293" s="49"/>
      <c r="N293" s="49"/>
      <c r="O293" s="49"/>
      <c r="P293" s="49"/>
      <c r="Q293" s="49"/>
      <c r="R293" s="49"/>
      <c r="S293" s="49"/>
      <c r="T293" s="41" t="s">
        <v>94</v>
      </c>
      <c r="U293" s="42"/>
      <c r="V293" s="42"/>
      <c r="W293" s="42"/>
      <c r="X293" s="42"/>
      <c r="Y293" s="42"/>
      <c r="Z293" s="42"/>
      <c r="AA293" s="127">
        <f t="shared" si="4"/>
        <v>0</v>
      </c>
      <c r="AB293" s="43" t="s">
        <v>552</v>
      </c>
    </row>
    <row r="294" spans="1:28" ht="16.5">
      <c r="A294" s="38">
        <v>35983</v>
      </c>
      <c r="B294" s="39" t="s">
        <v>310</v>
      </c>
      <c r="C294" s="40" t="s">
        <v>555</v>
      </c>
      <c r="D294" s="40" t="s">
        <v>821</v>
      </c>
      <c r="E294" s="48">
        <v>3</v>
      </c>
      <c r="F294" s="48"/>
      <c r="G294" s="48"/>
      <c r="H294" s="48">
        <v>374</v>
      </c>
      <c r="I294" s="48">
        <v>50</v>
      </c>
      <c r="J294" s="48">
        <v>10</v>
      </c>
      <c r="K294" s="49"/>
      <c r="L294" s="49">
        <v>7</v>
      </c>
      <c r="M294" s="49">
        <v>7</v>
      </c>
      <c r="N294" s="49"/>
      <c r="O294" s="49"/>
      <c r="P294" s="49"/>
      <c r="Q294" s="49"/>
      <c r="R294" s="49"/>
      <c r="S294" s="49"/>
      <c r="T294" s="41" t="s">
        <v>556</v>
      </c>
      <c r="U294" s="42">
        <v>3725515.5</v>
      </c>
      <c r="V294" s="42">
        <v>1150000</v>
      </c>
      <c r="W294" s="42"/>
      <c r="X294" s="42"/>
      <c r="Y294" s="42"/>
      <c r="Z294" s="42"/>
      <c r="AA294" s="127">
        <f t="shared" si="4"/>
        <v>4875515.5</v>
      </c>
      <c r="AB294" s="43"/>
    </row>
    <row r="295" spans="1:28" ht="12.75">
      <c r="A295" s="38">
        <v>35983</v>
      </c>
      <c r="B295" s="39" t="s">
        <v>310</v>
      </c>
      <c r="C295" s="40" t="s">
        <v>557</v>
      </c>
      <c r="D295" s="40" t="s">
        <v>821</v>
      </c>
      <c r="E295" s="48"/>
      <c r="F295" s="48"/>
      <c r="G295" s="48"/>
      <c r="H295" s="48">
        <v>600</v>
      </c>
      <c r="I295" s="48">
        <v>120</v>
      </c>
      <c r="J295" s="48"/>
      <c r="K295" s="49"/>
      <c r="L295" s="49">
        <v>1</v>
      </c>
      <c r="M295" s="49"/>
      <c r="N295" s="49"/>
      <c r="O295" s="49"/>
      <c r="P295" s="49"/>
      <c r="Q295" s="49"/>
      <c r="R295" s="49"/>
      <c r="S295" s="49"/>
      <c r="T295" s="41" t="s">
        <v>94</v>
      </c>
      <c r="U295" s="42">
        <v>8941237.2</v>
      </c>
      <c r="V295" s="42">
        <v>2760000</v>
      </c>
      <c r="W295" s="42"/>
      <c r="X295" s="42"/>
      <c r="Y295" s="42"/>
      <c r="Z295" s="42"/>
      <c r="AA295" s="127">
        <f t="shared" si="4"/>
        <v>11701237.2</v>
      </c>
      <c r="AB295" s="43"/>
    </row>
    <row r="296" spans="1:29" ht="12.75">
      <c r="A296" s="38">
        <v>35983</v>
      </c>
      <c r="B296" s="39" t="s">
        <v>310</v>
      </c>
      <c r="C296" s="40" t="s">
        <v>558</v>
      </c>
      <c r="D296" s="40" t="s">
        <v>821</v>
      </c>
      <c r="E296" s="48"/>
      <c r="F296" s="48"/>
      <c r="G296" s="48"/>
      <c r="H296" s="48">
        <v>450</v>
      </c>
      <c r="I296" s="48">
        <v>120</v>
      </c>
      <c r="J296" s="48">
        <v>1</v>
      </c>
      <c r="K296" s="49">
        <v>60</v>
      </c>
      <c r="L296" s="49"/>
      <c r="M296" s="49"/>
      <c r="N296" s="49"/>
      <c r="O296" s="49"/>
      <c r="P296" s="49"/>
      <c r="Q296" s="49"/>
      <c r="R296" s="49"/>
      <c r="S296" s="49"/>
      <c r="T296" s="41" t="s">
        <v>94</v>
      </c>
      <c r="U296" s="42">
        <v>7521306.45</v>
      </c>
      <c r="V296" s="42">
        <v>2760000</v>
      </c>
      <c r="W296" s="42"/>
      <c r="X296" s="42"/>
      <c r="Y296" s="42"/>
      <c r="Z296" s="42"/>
      <c r="AA296" s="127">
        <f t="shared" si="4"/>
        <v>10281306.45</v>
      </c>
      <c r="AB296" s="43"/>
      <c r="AC296" s="4" t="s">
        <v>594</v>
      </c>
    </row>
    <row r="297" spans="1:28" ht="12.75">
      <c r="A297" s="38">
        <v>35984</v>
      </c>
      <c r="B297" s="39" t="s">
        <v>100</v>
      </c>
      <c r="C297" s="40" t="s">
        <v>403</v>
      </c>
      <c r="D297" s="40" t="s">
        <v>891</v>
      </c>
      <c r="E297" s="48"/>
      <c r="F297" s="48"/>
      <c r="G297" s="48"/>
      <c r="H297" s="48">
        <v>140</v>
      </c>
      <c r="I297" s="48">
        <v>28</v>
      </c>
      <c r="J297" s="48">
        <v>8</v>
      </c>
      <c r="K297" s="49"/>
      <c r="L297" s="49"/>
      <c r="M297" s="49"/>
      <c r="N297" s="49"/>
      <c r="O297" s="49">
        <v>1</v>
      </c>
      <c r="P297" s="49"/>
      <c r="Q297" s="49"/>
      <c r="R297" s="49"/>
      <c r="S297" s="49"/>
      <c r="T297" s="41"/>
      <c r="U297" s="42"/>
      <c r="V297" s="42"/>
      <c r="W297" s="42"/>
      <c r="X297" s="42"/>
      <c r="Y297" s="42"/>
      <c r="Z297" s="42"/>
      <c r="AA297" s="127">
        <f t="shared" si="4"/>
        <v>0</v>
      </c>
      <c r="AB297" s="43" t="s">
        <v>573</v>
      </c>
    </row>
    <row r="298" spans="1:28" ht="16.5">
      <c r="A298" s="38">
        <v>35985</v>
      </c>
      <c r="B298" s="39" t="s">
        <v>59</v>
      </c>
      <c r="C298" s="40" t="s">
        <v>215</v>
      </c>
      <c r="D298" s="40" t="s">
        <v>821</v>
      </c>
      <c r="E298" s="48"/>
      <c r="F298" s="48"/>
      <c r="G298" s="48"/>
      <c r="H298" s="48">
        <v>6200</v>
      </c>
      <c r="I298" s="48">
        <v>1240</v>
      </c>
      <c r="J298" s="48"/>
      <c r="K298" s="49">
        <v>300</v>
      </c>
      <c r="L298" s="49"/>
      <c r="M298" s="49"/>
      <c r="N298" s="49"/>
      <c r="O298" s="49"/>
      <c r="P298" s="49"/>
      <c r="Q298" s="49"/>
      <c r="R298" s="49"/>
      <c r="S298" s="49"/>
      <c r="T298" s="41" t="s">
        <v>499</v>
      </c>
      <c r="U298" s="42"/>
      <c r="V298" s="42"/>
      <c r="W298" s="42"/>
      <c r="X298" s="42"/>
      <c r="Y298" s="42"/>
      <c r="Z298" s="42"/>
      <c r="AA298" s="127">
        <f t="shared" si="4"/>
        <v>0</v>
      </c>
      <c r="AB298" s="43" t="s">
        <v>500</v>
      </c>
    </row>
    <row r="299" spans="1:28" ht="12.75">
      <c r="A299" s="38">
        <v>35985</v>
      </c>
      <c r="B299" s="39" t="s">
        <v>59</v>
      </c>
      <c r="C299" s="40" t="s">
        <v>501</v>
      </c>
      <c r="D299" s="40" t="s">
        <v>821</v>
      </c>
      <c r="E299" s="48"/>
      <c r="F299" s="48"/>
      <c r="G299" s="48"/>
      <c r="H299" s="48"/>
      <c r="I299" s="48"/>
      <c r="J299" s="48"/>
      <c r="K299" s="49"/>
      <c r="L299" s="49"/>
      <c r="M299" s="49"/>
      <c r="N299" s="49"/>
      <c r="O299" s="49"/>
      <c r="P299" s="49"/>
      <c r="Q299" s="49"/>
      <c r="R299" s="49"/>
      <c r="S299" s="49"/>
      <c r="T299" s="41"/>
      <c r="U299" s="42"/>
      <c r="V299" s="42"/>
      <c r="W299" s="42"/>
      <c r="X299" s="42"/>
      <c r="Y299" s="42"/>
      <c r="Z299" s="42"/>
      <c r="AA299" s="127">
        <f t="shared" si="4"/>
        <v>0</v>
      </c>
      <c r="AB299" s="43" t="s">
        <v>502</v>
      </c>
    </row>
    <row r="300" spans="1:28" ht="22.5">
      <c r="A300" s="38">
        <v>35985</v>
      </c>
      <c r="B300" s="39" t="s">
        <v>59</v>
      </c>
      <c r="C300" s="40" t="s">
        <v>503</v>
      </c>
      <c r="D300" s="40" t="s">
        <v>821</v>
      </c>
      <c r="E300" s="48"/>
      <c r="F300" s="48"/>
      <c r="G300" s="48"/>
      <c r="H300" s="48">
        <v>650</v>
      </c>
      <c r="I300" s="48">
        <v>130</v>
      </c>
      <c r="J300" s="48"/>
      <c r="K300" s="49">
        <v>50</v>
      </c>
      <c r="L300" s="49"/>
      <c r="M300" s="49"/>
      <c r="N300" s="49"/>
      <c r="O300" s="49"/>
      <c r="P300" s="49"/>
      <c r="Q300" s="49"/>
      <c r="R300" s="49"/>
      <c r="S300" s="49"/>
      <c r="T300" s="41" t="s">
        <v>504</v>
      </c>
      <c r="U300" s="42">
        <v>9264183.5</v>
      </c>
      <c r="V300" s="42"/>
      <c r="W300" s="42"/>
      <c r="X300" s="42">
        <v>1322400</v>
      </c>
      <c r="Y300" s="42"/>
      <c r="Z300" s="42"/>
      <c r="AA300" s="127">
        <f t="shared" si="4"/>
        <v>10586583.5</v>
      </c>
      <c r="AB300" s="43"/>
    </row>
    <row r="301" spans="1:28" ht="12.75">
      <c r="A301" s="38">
        <v>35985</v>
      </c>
      <c r="B301" s="39" t="s">
        <v>59</v>
      </c>
      <c r="C301" s="40" t="s">
        <v>505</v>
      </c>
      <c r="D301" s="40" t="s">
        <v>821</v>
      </c>
      <c r="E301" s="48"/>
      <c r="F301" s="48"/>
      <c r="G301" s="48"/>
      <c r="H301" s="48"/>
      <c r="I301" s="48"/>
      <c r="J301" s="48"/>
      <c r="K301" s="49"/>
      <c r="L301" s="49"/>
      <c r="M301" s="49"/>
      <c r="N301" s="49"/>
      <c r="O301" s="49"/>
      <c r="P301" s="49"/>
      <c r="Q301" s="49"/>
      <c r="R301" s="49"/>
      <c r="S301" s="49"/>
      <c r="T301" s="41"/>
      <c r="U301" s="42"/>
      <c r="V301" s="42"/>
      <c r="W301" s="42"/>
      <c r="X301" s="42"/>
      <c r="Y301" s="42"/>
      <c r="Z301" s="42"/>
      <c r="AA301" s="127">
        <f t="shared" si="4"/>
        <v>0</v>
      </c>
      <c r="AB301" s="43" t="s">
        <v>267</v>
      </c>
    </row>
    <row r="302" spans="1:28" ht="22.5">
      <c r="A302" s="38">
        <v>35985</v>
      </c>
      <c r="B302" s="39" t="s">
        <v>77</v>
      </c>
      <c r="C302" s="40" t="s">
        <v>535</v>
      </c>
      <c r="D302" s="40" t="s">
        <v>821</v>
      </c>
      <c r="E302" s="48"/>
      <c r="F302" s="48"/>
      <c r="G302" s="48"/>
      <c r="H302" s="48">
        <v>7500</v>
      </c>
      <c r="I302" s="48">
        <v>1500</v>
      </c>
      <c r="J302" s="48"/>
      <c r="K302" s="49"/>
      <c r="L302" s="49"/>
      <c r="M302" s="49"/>
      <c r="N302" s="49"/>
      <c r="O302" s="49"/>
      <c r="P302" s="49"/>
      <c r="Q302" s="49"/>
      <c r="R302" s="49"/>
      <c r="S302" s="49"/>
      <c r="T302" s="41"/>
      <c r="U302" s="42">
        <v>117740</v>
      </c>
      <c r="V302" s="42">
        <v>34500000</v>
      </c>
      <c r="W302" s="42"/>
      <c r="X302" s="42"/>
      <c r="Y302" s="42"/>
      <c r="Z302" s="42"/>
      <c r="AA302" s="127">
        <f t="shared" si="4"/>
        <v>34617740</v>
      </c>
      <c r="AB302" s="43" t="s">
        <v>536</v>
      </c>
    </row>
    <row r="303" spans="1:28" ht="12.75">
      <c r="A303" s="38">
        <v>35986</v>
      </c>
      <c r="B303" s="39" t="s">
        <v>829</v>
      </c>
      <c r="C303" s="40" t="s">
        <v>3</v>
      </c>
      <c r="D303" s="40" t="s">
        <v>872</v>
      </c>
      <c r="E303" s="48"/>
      <c r="F303" s="48"/>
      <c r="G303" s="48"/>
      <c r="H303" s="48"/>
      <c r="I303" s="48"/>
      <c r="J303" s="48"/>
      <c r="K303" s="49"/>
      <c r="L303" s="49"/>
      <c r="M303" s="49"/>
      <c r="N303" s="49"/>
      <c r="O303" s="49"/>
      <c r="P303" s="49"/>
      <c r="Q303" s="49"/>
      <c r="R303" s="49"/>
      <c r="S303" s="49"/>
      <c r="T303" s="41"/>
      <c r="U303" s="42"/>
      <c r="V303" s="42"/>
      <c r="W303" s="42"/>
      <c r="X303" s="42"/>
      <c r="Y303" s="42"/>
      <c r="Z303" s="42"/>
      <c r="AA303" s="127">
        <f t="shared" si="4"/>
        <v>0</v>
      </c>
      <c r="AB303" s="43" t="s">
        <v>507</v>
      </c>
    </row>
    <row r="304" spans="1:28" ht="22.5">
      <c r="A304" s="38">
        <v>35986</v>
      </c>
      <c r="B304" s="39" t="s">
        <v>16</v>
      </c>
      <c r="C304" s="40" t="s">
        <v>69</v>
      </c>
      <c r="D304" s="40" t="s">
        <v>82</v>
      </c>
      <c r="E304" s="48"/>
      <c r="F304" s="48"/>
      <c r="G304" s="48"/>
      <c r="H304" s="48"/>
      <c r="I304" s="48"/>
      <c r="J304" s="48"/>
      <c r="K304" s="49"/>
      <c r="L304" s="49"/>
      <c r="M304" s="49"/>
      <c r="N304" s="49"/>
      <c r="O304" s="49"/>
      <c r="P304" s="49"/>
      <c r="Q304" s="49"/>
      <c r="R304" s="49"/>
      <c r="S304" s="49"/>
      <c r="T304" s="41"/>
      <c r="U304" s="42"/>
      <c r="V304" s="42"/>
      <c r="W304" s="42"/>
      <c r="X304" s="42"/>
      <c r="Y304" s="42"/>
      <c r="Z304" s="42"/>
      <c r="AA304" s="127">
        <f t="shared" si="4"/>
        <v>0</v>
      </c>
      <c r="AB304" s="43" t="s">
        <v>534</v>
      </c>
    </row>
    <row r="305" spans="1:28" ht="16.5">
      <c r="A305" s="38">
        <v>35987</v>
      </c>
      <c r="B305" s="39" t="s">
        <v>92</v>
      </c>
      <c r="C305" s="40" t="s">
        <v>568</v>
      </c>
      <c r="D305" s="40" t="s">
        <v>821</v>
      </c>
      <c r="E305" s="48"/>
      <c r="F305" s="48"/>
      <c r="G305" s="48"/>
      <c r="H305" s="48"/>
      <c r="I305" s="48"/>
      <c r="J305" s="48"/>
      <c r="K305" s="49"/>
      <c r="L305" s="49"/>
      <c r="M305" s="49"/>
      <c r="N305" s="49"/>
      <c r="O305" s="49">
        <v>1</v>
      </c>
      <c r="P305" s="49"/>
      <c r="Q305" s="49"/>
      <c r="R305" s="49"/>
      <c r="S305" s="49"/>
      <c r="T305" s="41"/>
      <c r="U305" s="42"/>
      <c r="V305" s="42"/>
      <c r="W305" s="42"/>
      <c r="X305" s="42"/>
      <c r="Y305" s="42"/>
      <c r="Z305" s="42"/>
      <c r="AA305" s="127">
        <f t="shared" si="4"/>
        <v>0</v>
      </c>
      <c r="AB305" s="43" t="s">
        <v>569</v>
      </c>
    </row>
    <row r="306" spans="1:28" ht="22.5">
      <c r="A306" s="38">
        <v>35987</v>
      </c>
      <c r="B306" s="39" t="s">
        <v>92</v>
      </c>
      <c r="C306" s="40" t="s">
        <v>471</v>
      </c>
      <c r="D306" s="40" t="s">
        <v>821</v>
      </c>
      <c r="E306" s="48"/>
      <c r="F306" s="48"/>
      <c r="G306" s="48"/>
      <c r="H306" s="48">
        <v>100</v>
      </c>
      <c r="I306" s="48">
        <v>20</v>
      </c>
      <c r="J306" s="48"/>
      <c r="K306" s="49"/>
      <c r="L306" s="49"/>
      <c r="M306" s="49"/>
      <c r="N306" s="49"/>
      <c r="O306" s="49"/>
      <c r="P306" s="49"/>
      <c r="Q306" s="49"/>
      <c r="R306" s="49"/>
      <c r="S306" s="49"/>
      <c r="T306" s="41"/>
      <c r="U306" s="42"/>
      <c r="V306" s="42"/>
      <c r="W306" s="42"/>
      <c r="X306" s="42"/>
      <c r="Y306" s="42"/>
      <c r="Z306" s="42"/>
      <c r="AA306" s="127">
        <f t="shared" si="4"/>
        <v>0</v>
      </c>
      <c r="AB306" s="43" t="s">
        <v>570</v>
      </c>
    </row>
    <row r="307" spans="1:28" ht="12.75">
      <c r="A307" s="38">
        <v>35988</v>
      </c>
      <c r="B307" s="39" t="s">
        <v>77</v>
      </c>
      <c r="C307" s="40" t="s">
        <v>537</v>
      </c>
      <c r="D307" s="40" t="s">
        <v>879</v>
      </c>
      <c r="E307" s="48"/>
      <c r="F307" s="48"/>
      <c r="G307" s="48"/>
      <c r="H307" s="48">
        <v>200</v>
      </c>
      <c r="I307" s="48">
        <v>40</v>
      </c>
      <c r="J307" s="48">
        <v>40</v>
      </c>
      <c r="K307" s="49"/>
      <c r="L307" s="49"/>
      <c r="M307" s="49"/>
      <c r="N307" s="49"/>
      <c r="O307" s="49"/>
      <c r="P307" s="49"/>
      <c r="Q307" s="49"/>
      <c r="R307" s="49"/>
      <c r="S307" s="49"/>
      <c r="T307" s="41"/>
      <c r="U307" s="42"/>
      <c r="V307" s="42"/>
      <c r="W307" s="42"/>
      <c r="X307" s="42"/>
      <c r="Y307" s="42"/>
      <c r="Z307" s="42"/>
      <c r="AA307" s="127">
        <f t="shared" si="4"/>
        <v>0</v>
      </c>
      <c r="AB307" s="43" t="s">
        <v>538</v>
      </c>
    </row>
    <row r="308" spans="1:28" ht="12.75">
      <c r="A308" s="38">
        <v>35989</v>
      </c>
      <c r="B308" s="39" t="s">
        <v>877</v>
      </c>
      <c r="C308" s="40" t="s">
        <v>520</v>
      </c>
      <c r="D308" s="40" t="s">
        <v>821</v>
      </c>
      <c r="E308" s="48"/>
      <c r="F308" s="48"/>
      <c r="G308" s="48"/>
      <c r="H308" s="48">
        <v>910</v>
      </c>
      <c r="I308" s="48">
        <v>182</v>
      </c>
      <c r="J308" s="48"/>
      <c r="K308" s="49"/>
      <c r="L308" s="49"/>
      <c r="M308" s="49"/>
      <c r="N308" s="49"/>
      <c r="O308" s="49"/>
      <c r="P308" s="49"/>
      <c r="Q308" s="49"/>
      <c r="R308" s="49"/>
      <c r="S308" s="49"/>
      <c r="T308" s="41" t="s">
        <v>94</v>
      </c>
      <c r="U308" s="42"/>
      <c r="V308" s="42">
        <v>5750000</v>
      </c>
      <c r="W308" s="42"/>
      <c r="X308" s="42"/>
      <c r="Y308" s="42"/>
      <c r="Z308" s="42"/>
      <c r="AA308" s="127">
        <f t="shared" si="4"/>
        <v>5750000</v>
      </c>
      <c r="AB308" s="43"/>
    </row>
    <row r="309" spans="1:28" ht="12.75">
      <c r="A309" s="38">
        <v>35989</v>
      </c>
      <c r="B309" s="39" t="s">
        <v>877</v>
      </c>
      <c r="C309" s="40" t="s">
        <v>521</v>
      </c>
      <c r="D309" s="40" t="s">
        <v>821</v>
      </c>
      <c r="E309" s="48"/>
      <c r="F309" s="48"/>
      <c r="G309" s="48"/>
      <c r="H309" s="48">
        <v>300</v>
      </c>
      <c r="I309" s="48">
        <v>60</v>
      </c>
      <c r="J309" s="48"/>
      <c r="K309" s="49"/>
      <c r="L309" s="49"/>
      <c r="M309" s="49"/>
      <c r="N309" s="49"/>
      <c r="O309" s="49"/>
      <c r="P309" s="49"/>
      <c r="Q309" s="49"/>
      <c r="R309" s="49"/>
      <c r="S309" s="49"/>
      <c r="T309" s="41"/>
      <c r="U309" s="42"/>
      <c r="V309" s="42">
        <v>1104000</v>
      </c>
      <c r="W309" s="42"/>
      <c r="X309" s="42"/>
      <c r="Y309" s="42"/>
      <c r="Z309" s="42"/>
      <c r="AA309" s="127">
        <f t="shared" si="4"/>
        <v>1104000</v>
      </c>
      <c r="AB309" s="43"/>
    </row>
    <row r="310" spans="1:28" ht="16.5">
      <c r="A310" s="38">
        <v>35989</v>
      </c>
      <c r="B310" s="39" t="s">
        <v>877</v>
      </c>
      <c r="C310" s="40" t="s">
        <v>522</v>
      </c>
      <c r="D310" s="40" t="s">
        <v>821</v>
      </c>
      <c r="E310" s="48"/>
      <c r="F310" s="48"/>
      <c r="G310" s="48"/>
      <c r="H310" s="48">
        <v>350</v>
      </c>
      <c r="I310" s="48">
        <v>70</v>
      </c>
      <c r="J310" s="48"/>
      <c r="K310" s="49"/>
      <c r="L310" s="49">
        <v>2</v>
      </c>
      <c r="M310" s="49"/>
      <c r="N310" s="49"/>
      <c r="O310" s="49"/>
      <c r="P310" s="49"/>
      <c r="Q310" s="49"/>
      <c r="R310" s="49"/>
      <c r="S310" s="49"/>
      <c r="T310" s="41" t="s">
        <v>524</v>
      </c>
      <c r="U310" s="42">
        <v>2856588</v>
      </c>
      <c r="V310" s="42">
        <v>1334000</v>
      </c>
      <c r="W310" s="42"/>
      <c r="X310" s="42"/>
      <c r="Y310" s="42"/>
      <c r="Z310" s="42"/>
      <c r="AA310" s="127">
        <f t="shared" si="4"/>
        <v>4190588</v>
      </c>
      <c r="AB310" s="43" t="s">
        <v>523</v>
      </c>
    </row>
    <row r="311" spans="1:28" ht="22.5">
      <c r="A311" s="38">
        <v>35989</v>
      </c>
      <c r="B311" s="39" t="s">
        <v>39</v>
      </c>
      <c r="C311" s="40" t="s">
        <v>539</v>
      </c>
      <c r="D311" s="40" t="s">
        <v>911</v>
      </c>
      <c r="E311" s="48"/>
      <c r="F311" s="48"/>
      <c r="G311" s="48"/>
      <c r="H311" s="48">
        <v>100</v>
      </c>
      <c r="I311" s="48">
        <v>20</v>
      </c>
      <c r="J311" s="48"/>
      <c r="K311" s="49">
        <v>20</v>
      </c>
      <c r="L311" s="49"/>
      <c r="M311" s="49"/>
      <c r="N311" s="49"/>
      <c r="O311" s="49"/>
      <c r="P311" s="49"/>
      <c r="Q311" s="49"/>
      <c r="R311" s="49"/>
      <c r="S311" s="49"/>
      <c r="T311" s="41"/>
      <c r="U311" s="42"/>
      <c r="V311" s="42"/>
      <c r="W311" s="42">
        <v>1026600</v>
      </c>
      <c r="X311" s="42"/>
      <c r="Y311" s="42"/>
      <c r="Z311" s="42"/>
      <c r="AA311" s="127">
        <f t="shared" si="4"/>
        <v>1026600</v>
      </c>
      <c r="AB311" s="43"/>
    </row>
    <row r="312" spans="1:28" ht="12.75">
      <c r="A312" s="38">
        <v>35989</v>
      </c>
      <c r="B312" s="39" t="s">
        <v>39</v>
      </c>
      <c r="C312" s="40" t="s">
        <v>540</v>
      </c>
      <c r="D312" s="40" t="s">
        <v>911</v>
      </c>
      <c r="E312" s="48"/>
      <c r="F312" s="48"/>
      <c r="G312" s="48"/>
      <c r="H312" s="48">
        <v>60</v>
      </c>
      <c r="I312" s="48">
        <v>12</v>
      </c>
      <c r="J312" s="48"/>
      <c r="K312" s="49">
        <v>12</v>
      </c>
      <c r="L312" s="49"/>
      <c r="M312" s="49"/>
      <c r="N312" s="49"/>
      <c r="O312" s="49"/>
      <c r="P312" s="49"/>
      <c r="Q312" s="49"/>
      <c r="R312" s="49">
        <v>1</v>
      </c>
      <c r="S312" s="49"/>
      <c r="T312" s="41"/>
      <c r="U312" s="42"/>
      <c r="V312" s="42"/>
      <c r="W312" s="42">
        <v>1026600</v>
      </c>
      <c r="X312" s="42"/>
      <c r="Y312" s="42"/>
      <c r="Z312" s="42"/>
      <c r="AA312" s="127">
        <f t="shared" si="4"/>
        <v>1026600</v>
      </c>
      <c r="AB312" s="43"/>
    </row>
    <row r="313" spans="1:28" ht="16.5">
      <c r="A313" s="38">
        <v>35989</v>
      </c>
      <c r="B313" s="39" t="s">
        <v>310</v>
      </c>
      <c r="C313" s="40" t="s">
        <v>541</v>
      </c>
      <c r="D313" s="40" t="s">
        <v>821</v>
      </c>
      <c r="E313" s="48"/>
      <c r="F313" s="48"/>
      <c r="G313" s="48"/>
      <c r="H313" s="48">
        <v>1200</v>
      </c>
      <c r="I313" s="48">
        <v>240</v>
      </c>
      <c r="J313" s="48"/>
      <c r="K313" s="49">
        <v>240</v>
      </c>
      <c r="L313" s="49"/>
      <c r="M313" s="49"/>
      <c r="N313" s="49"/>
      <c r="O313" s="49"/>
      <c r="P313" s="49"/>
      <c r="Q313" s="49"/>
      <c r="R313" s="49"/>
      <c r="S313" s="49"/>
      <c r="T313" s="41" t="s">
        <v>94</v>
      </c>
      <c r="U313" s="42">
        <v>25532993.700000003</v>
      </c>
      <c r="V313" s="42">
        <v>5520000</v>
      </c>
      <c r="W313" s="42"/>
      <c r="X313" s="42"/>
      <c r="Y313" s="42"/>
      <c r="Z313" s="42"/>
      <c r="AA313" s="127">
        <f t="shared" si="4"/>
        <v>31052993.700000003</v>
      </c>
      <c r="AB313" s="43" t="s">
        <v>542</v>
      </c>
    </row>
    <row r="314" spans="1:28" ht="24.75">
      <c r="A314" s="38">
        <v>35989</v>
      </c>
      <c r="B314" s="39" t="s">
        <v>889</v>
      </c>
      <c r="C314" s="40" t="s">
        <v>162</v>
      </c>
      <c r="D314" s="40" t="s">
        <v>911</v>
      </c>
      <c r="E314" s="48"/>
      <c r="F314" s="48"/>
      <c r="G314" s="48"/>
      <c r="H314" s="48">
        <f>13*5</f>
        <v>65</v>
      </c>
      <c r="I314" s="48">
        <v>13</v>
      </c>
      <c r="J314" s="48"/>
      <c r="K314" s="49">
        <v>13</v>
      </c>
      <c r="L314" s="49"/>
      <c r="M314" s="49"/>
      <c r="N314" s="49"/>
      <c r="O314" s="49"/>
      <c r="P314" s="49"/>
      <c r="Q314" s="49"/>
      <c r="R314" s="49"/>
      <c r="S314" s="49"/>
      <c r="T314" s="41"/>
      <c r="U314" s="42"/>
      <c r="V314" s="42"/>
      <c r="W314" s="42"/>
      <c r="X314" s="42"/>
      <c r="Y314" s="42"/>
      <c r="Z314" s="42"/>
      <c r="AA314" s="127">
        <f t="shared" si="4"/>
        <v>0</v>
      </c>
      <c r="AB314" s="43" t="s">
        <v>756</v>
      </c>
    </row>
    <row r="315" spans="1:28" ht="12.75">
      <c r="A315" s="38">
        <v>35989</v>
      </c>
      <c r="B315" s="39" t="s">
        <v>92</v>
      </c>
      <c r="C315" s="40" t="s">
        <v>566</v>
      </c>
      <c r="D315" s="40" t="s">
        <v>821</v>
      </c>
      <c r="E315" s="48"/>
      <c r="F315" s="48"/>
      <c r="G315" s="48"/>
      <c r="H315" s="48">
        <v>422</v>
      </c>
      <c r="I315" s="48">
        <v>87</v>
      </c>
      <c r="J315" s="48"/>
      <c r="K315" s="49"/>
      <c r="L315" s="49"/>
      <c r="M315" s="49"/>
      <c r="N315" s="49"/>
      <c r="O315" s="49"/>
      <c r="P315" s="49"/>
      <c r="Q315" s="49"/>
      <c r="R315" s="49"/>
      <c r="S315" s="49"/>
      <c r="T315" s="41"/>
      <c r="U315" s="42">
        <v>2371956.62</v>
      </c>
      <c r="V315" s="42">
        <v>2001000</v>
      </c>
      <c r="W315" s="42"/>
      <c r="X315" s="42"/>
      <c r="Y315" s="42"/>
      <c r="Z315" s="42"/>
      <c r="AA315" s="127">
        <f t="shared" si="4"/>
        <v>4372956.62</v>
      </c>
      <c r="AB315" s="43" t="s">
        <v>567</v>
      </c>
    </row>
    <row r="316" spans="1:28" ht="24.75">
      <c r="A316" s="38">
        <v>35990</v>
      </c>
      <c r="B316" s="39" t="s">
        <v>904</v>
      </c>
      <c r="C316" s="40" t="s">
        <v>875</v>
      </c>
      <c r="D316" s="40" t="s">
        <v>821</v>
      </c>
      <c r="E316" s="48"/>
      <c r="F316" s="48"/>
      <c r="G316" s="48"/>
      <c r="H316" s="48">
        <v>4650</v>
      </c>
      <c r="I316" s="48">
        <v>825</v>
      </c>
      <c r="J316" s="48"/>
      <c r="K316" s="49"/>
      <c r="L316" s="49"/>
      <c r="M316" s="49"/>
      <c r="N316" s="49"/>
      <c r="O316" s="49"/>
      <c r="P316" s="49"/>
      <c r="Q316" s="49"/>
      <c r="R316" s="49"/>
      <c r="S316" s="49"/>
      <c r="T316" s="41" t="s">
        <v>571</v>
      </c>
      <c r="U316" s="42">
        <v>14512386</v>
      </c>
      <c r="V316" s="42">
        <v>6900000</v>
      </c>
      <c r="W316" s="42"/>
      <c r="X316" s="42">
        <v>2204000</v>
      </c>
      <c r="Y316" s="42"/>
      <c r="Z316" s="42"/>
      <c r="AA316" s="127">
        <f t="shared" si="4"/>
        <v>23616386</v>
      </c>
      <c r="AB316" s="43" t="s">
        <v>572</v>
      </c>
    </row>
    <row r="317" spans="1:28" ht="24.75">
      <c r="A317" s="38">
        <v>35997</v>
      </c>
      <c r="B317" s="39" t="s">
        <v>488</v>
      </c>
      <c r="C317" s="40" t="s">
        <v>577</v>
      </c>
      <c r="D317" s="40" t="s">
        <v>821</v>
      </c>
      <c r="E317" s="48"/>
      <c r="F317" s="48"/>
      <c r="G317" s="48"/>
      <c r="H317" s="48"/>
      <c r="I317" s="48"/>
      <c r="J317" s="48"/>
      <c r="K317" s="49"/>
      <c r="L317" s="49"/>
      <c r="M317" s="49"/>
      <c r="N317" s="49"/>
      <c r="O317" s="49"/>
      <c r="P317" s="49"/>
      <c r="Q317" s="49"/>
      <c r="R317" s="49"/>
      <c r="S317" s="49"/>
      <c r="T317" s="41"/>
      <c r="U317" s="42">
        <v>9148188</v>
      </c>
      <c r="V317" s="42">
        <v>1840000</v>
      </c>
      <c r="W317" s="42"/>
      <c r="X317" s="42"/>
      <c r="Y317" s="42"/>
      <c r="Z317" s="42"/>
      <c r="AA317" s="127">
        <f t="shared" si="4"/>
        <v>10988188</v>
      </c>
      <c r="AB317" s="43" t="s">
        <v>580</v>
      </c>
    </row>
    <row r="318" spans="1:28" ht="24.75">
      <c r="A318" s="38">
        <v>35997</v>
      </c>
      <c r="B318" s="39" t="s">
        <v>488</v>
      </c>
      <c r="C318" s="40" t="s">
        <v>578</v>
      </c>
      <c r="D318" s="40" t="s">
        <v>821</v>
      </c>
      <c r="E318" s="48"/>
      <c r="F318" s="48"/>
      <c r="G318" s="48"/>
      <c r="H318" s="48"/>
      <c r="I318" s="48"/>
      <c r="J318" s="48"/>
      <c r="K318" s="49"/>
      <c r="L318" s="49"/>
      <c r="M318" s="49"/>
      <c r="N318" s="49"/>
      <c r="O318" s="49"/>
      <c r="P318" s="49"/>
      <c r="Q318" s="49"/>
      <c r="R318" s="49"/>
      <c r="S318" s="49"/>
      <c r="T318" s="41"/>
      <c r="U318" s="42">
        <v>22413060.599999998</v>
      </c>
      <c r="V318" s="42">
        <v>4508000</v>
      </c>
      <c r="W318" s="42"/>
      <c r="X318" s="42"/>
      <c r="Y318" s="42"/>
      <c r="Z318" s="42"/>
      <c r="AA318" s="127">
        <f t="shared" si="4"/>
        <v>26921060.599999998</v>
      </c>
      <c r="AB318" s="43" t="s">
        <v>579</v>
      </c>
    </row>
    <row r="319" spans="1:28" ht="16.5">
      <c r="A319" s="38">
        <v>35998</v>
      </c>
      <c r="B319" s="39" t="s">
        <v>899</v>
      </c>
      <c r="C319" s="40" t="s">
        <v>59</v>
      </c>
      <c r="D319" s="40" t="s">
        <v>891</v>
      </c>
      <c r="E319" s="48"/>
      <c r="F319" s="48"/>
      <c r="G319" s="48"/>
      <c r="H319" s="48">
        <v>44</v>
      </c>
      <c r="I319" s="48">
        <v>10</v>
      </c>
      <c r="J319" s="48"/>
      <c r="K319" s="49"/>
      <c r="L319" s="49"/>
      <c r="M319" s="49"/>
      <c r="N319" s="49"/>
      <c r="O319" s="49"/>
      <c r="P319" s="49"/>
      <c r="Q319" s="49"/>
      <c r="R319" s="49"/>
      <c r="S319" s="49"/>
      <c r="T319" s="41"/>
      <c r="U319" s="42">
        <v>2074087.6</v>
      </c>
      <c r="V319" s="42">
        <v>920000</v>
      </c>
      <c r="W319" s="42">
        <v>1026600</v>
      </c>
      <c r="X319" s="42"/>
      <c r="Y319" s="42"/>
      <c r="Z319" s="42"/>
      <c r="AA319" s="127">
        <f t="shared" si="4"/>
        <v>4020687.6</v>
      </c>
      <c r="AB319" s="43" t="s">
        <v>696</v>
      </c>
    </row>
    <row r="320" spans="1:28" ht="12.75">
      <c r="A320" s="38">
        <v>35999</v>
      </c>
      <c r="B320" s="39" t="s">
        <v>877</v>
      </c>
      <c r="C320" s="40" t="s">
        <v>530</v>
      </c>
      <c r="D320" s="40" t="s">
        <v>821</v>
      </c>
      <c r="E320" s="48"/>
      <c r="F320" s="48"/>
      <c r="G320" s="48"/>
      <c r="H320" s="48">
        <f>347+469</f>
        <v>816</v>
      </c>
      <c r="I320" s="48">
        <f>53+89</f>
        <v>142</v>
      </c>
      <c r="J320" s="48"/>
      <c r="K320" s="49">
        <v>5</v>
      </c>
      <c r="L320" s="49"/>
      <c r="M320" s="49"/>
      <c r="N320" s="49"/>
      <c r="O320" s="49"/>
      <c r="P320" s="49"/>
      <c r="Q320" s="49"/>
      <c r="R320" s="49">
        <v>1</v>
      </c>
      <c r="S320" s="49"/>
      <c r="T320" s="41"/>
      <c r="U320" s="57">
        <v>17940758.54</v>
      </c>
      <c r="V320" s="42"/>
      <c r="W320" s="42"/>
      <c r="X320" s="42"/>
      <c r="Y320" s="42"/>
      <c r="Z320" s="42"/>
      <c r="AA320" s="127">
        <f t="shared" si="4"/>
        <v>17940758.54</v>
      </c>
      <c r="AB320" s="43" t="s">
        <v>664</v>
      </c>
    </row>
    <row r="321" spans="1:28" ht="16.5">
      <c r="A321" s="38">
        <v>36000</v>
      </c>
      <c r="B321" s="39" t="s">
        <v>59</v>
      </c>
      <c r="C321" s="40" t="s">
        <v>211</v>
      </c>
      <c r="D321" s="40" t="s">
        <v>821</v>
      </c>
      <c r="E321" s="48"/>
      <c r="F321" s="48"/>
      <c r="G321" s="48"/>
      <c r="H321" s="48"/>
      <c r="I321" s="48"/>
      <c r="J321" s="48"/>
      <c r="K321" s="49"/>
      <c r="L321" s="49"/>
      <c r="M321" s="49"/>
      <c r="N321" s="49"/>
      <c r="O321" s="49"/>
      <c r="P321" s="49"/>
      <c r="Q321" s="49"/>
      <c r="R321" s="49"/>
      <c r="S321" s="49"/>
      <c r="T321" s="41"/>
      <c r="U321" s="42"/>
      <c r="V321" s="42"/>
      <c r="W321" s="42"/>
      <c r="X321" s="42"/>
      <c r="Y321" s="42"/>
      <c r="Z321" s="42"/>
      <c r="AA321" s="127">
        <f t="shared" si="4"/>
        <v>0</v>
      </c>
      <c r="AB321" s="43" t="s">
        <v>506</v>
      </c>
    </row>
    <row r="322" spans="1:28" ht="12.75">
      <c r="A322" s="38">
        <v>36005</v>
      </c>
      <c r="B322" s="39" t="s">
        <v>13</v>
      </c>
      <c r="C322" s="40" t="s">
        <v>268</v>
      </c>
      <c r="D322" s="40" t="s">
        <v>879</v>
      </c>
      <c r="E322" s="48"/>
      <c r="F322" s="48"/>
      <c r="G322" s="48"/>
      <c r="H322" s="48">
        <v>8</v>
      </c>
      <c r="I322" s="48">
        <v>1</v>
      </c>
      <c r="J322" s="48">
        <v>1</v>
      </c>
      <c r="K322" s="49"/>
      <c r="L322" s="49"/>
      <c r="M322" s="49"/>
      <c r="N322" s="49"/>
      <c r="O322" s="49"/>
      <c r="P322" s="49"/>
      <c r="Q322" s="49"/>
      <c r="R322" s="49"/>
      <c r="S322" s="49"/>
      <c r="T322" s="41"/>
      <c r="U322" s="42"/>
      <c r="V322" s="42"/>
      <c r="W322" s="42"/>
      <c r="X322" s="42"/>
      <c r="Y322" s="42"/>
      <c r="Z322" s="42"/>
      <c r="AA322" s="127">
        <f t="shared" si="4"/>
        <v>0</v>
      </c>
      <c r="AB322" s="43" t="s">
        <v>516</v>
      </c>
    </row>
    <row r="323" spans="1:28" ht="12.75">
      <c r="A323" s="38">
        <v>36005</v>
      </c>
      <c r="B323" s="39" t="s">
        <v>13</v>
      </c>
      <c r="C323" s="40" t="s">
        <v>514</v>
      </c>
      <c r="D323" s="40" t="s">
        <v>911</v>
      </c>
      <c r="E323" s="48"/>
      <c r="F323" s="48"/>
      <c r="G323" s="48"/>
      <c r="H323" s="48">
        <v>36</v>
      </c>
      <c r="I323" s="48">
        <v>9</v>
      </c>
      <c r="J323" s="48"/>
      <c r="K323" s="49">
        <v>9</v>
      </c>
      <c r="L323" s="49"/>
      <c r="M323" s="49"/>
      <c r="N323" s="49"/>
      <c r="O323" s="49"/>
      <c r="P323" s="49"/>
      <c r="Q323" s="49"/>
      <c r="R323" s="49"/>
      <c r="S323" s="49"/>
      <c r="T323" s="41"/>
      <c r="U323" s="42"/>
      <c r="V323" s="42"/>
      <c r="W323" s="42"/>
      <c r="X323" s="42"/>
      <c r="Y323" s="42"/>
      <c r="Z323" s="42"/>
      <c r="AA323" s="127">
        <f t="shared" si="4"/>
        <v>0</v>
      </c>
      <c r="AB323" s="43" t="s">
        <v>515</v>
      </c>
    </row>
    <row r="324" spans="1:28" ht="12.75">
      <c r="A324" s="38">
        <v>36008</v>
      </c>
      <c r="B324" s="39" t="s">
        <v>820</v>
      </c>
      <c r="C324" s="40" t="s">
        <v>179</v>
      </c>
      <c r="D324" s="40" t="s">
        <v>82</v>
      </c>
      <c r="E324" s="48"/>
      <c r="F324" s="48"/>
      <c r="G324" s="48"/>
      <c r="H324" s="48"/>
      <c r="I324" s="48"/>
      <c r="J324" s="48"/>
      <c r="K324" s="49"/>
      <c r="L324" s="49"/>
      <c r="M324" s="49"/>
      <c r="N324" s="49"/>
      <c r="O324" s="49"/>
      <c r="P324" s="49"/>
      <c r="Q324" s="49"/>
      <c r="R324" s="49"/>
      <c r="S324" s="49"/>
      <c r="T324" s="41"/>
      <c r="U324" s="42"/>
      <c r="V324" s="42"/>
      <c r="W324" s="42"/>
      <c r="X324" s="42"/>
      <c r="Y324" s="42"/>
      <c r="Z324" s="42"/>
      <c r="AA324" s="127">
        <f aca="true" t="shared" si="5" ref="AA324:AA387">+U324+V324+W324+X324+Y324+Z324</f>
        <v>0</v>
      </c>
      <c r="AB324" s="43" t="s">
        <v>583</v>
      </c>
    </row>
    <row r="325" spans="1:28" ht="12.75">
      <c r="A325" s="38">
        <v>36008</v>
      </c>
      <c r="B325" s="39" t="s">
        <v>820</v>
      </c>
      <c r="C325" s="40" t="s">
        <v>581</v>
      </c>
      <c r="D325" s="40" t="s">
        <v>891</v>
      </c>
      <c r="E325" s="48"/>
      <c r="F325" s="48"/>
      <c r="G325" s="48"/>
      <c r="H325" s="48">
        <v>25</v>
      </c>
      <c r="I325" s="48">
        <v>5</v>
      </c>
      <c r="J325" s="48"/>
      <c r="K325" s="49"/>
      <c r="L325" s="49"/>
      <c r="M325" s="49"/>
      <c r="N325" s="49"/>
      <c r="O325" s="49"/>
      <c r="P325" s="49"/>
      <c r="Q325" s="49"/>
      <c r="R325" s="49"/>
      <c r="S325" s="49"/>
      <c r="T325" s="41"/>
      <c r="U325" s="42"/>
      <c r="V325" s="42"/>
      <c r="W325" s="42"/>
      <c r="X325" s="42"/>
      <c r="Y325" s="42"/>
      <c r="Z325" s="42"/>
      <c r="AA325" s="127">
        <f t="shared" si="5"/>
        <v>0</v>
      </c>
      <c r="AB325" s="43"/>
    </row>
    <row r="326" spans="1:28" ht="12.75">
      <c r="A326" s="38">
        <v>36008</v>
      </c>
      <c r="B326" s="39" t="s">
        <v>820</v>
      </c>
      <c r="C326" s="40" t="s">
        <v>582</v>
      </c>
      <c r="D326" s="40" t="s">
        <v>911</v>
      </c>
      <c r="E326" s="48"/>
      <c r="F326" s="48"/>
      <c r="G326" s="48"/>
      <c r="H326" s="48">
        <v>5</v>
      </c>
      <c r="I326" s="48">
        <v>1</v>
      </c>
      <c r="J326" s="48">
        <v>1</v>
      </c>
      <c r="K326" s="49"/>
      <c r="L326" s="49"/>
      <c r="M326" s="49"/>
      <c r="N326" s="49"/>
      <c r="O326" s="49"/>
      <c r="P326" s="49"/>
      <c r="Q326" s="49"/>
      <c r="R326" s="49"/>
      <c r="S326" s="49"/>
      <c r="T326" s="41"/>
      <c r="U326" s="42"/>
      <c r="V326" s="42"/>
      <c r="W326" s="42"/>
      <c r="X326" s="42"/>
      <c r="Y326" s="42"/>
      <c r="Z326" s="42"/>
      <c r="AA326" s="127">
        <f t="shared" si="5"/>
        <v>0</v>
      </c>
      <c r="AB326" s="43"/>
    </row>
    <row r="327" spans="1:28" ht="16.5">
      <c r="A327" s="38">
        <v>36008</v>
      </c>
      <c r="B327" s="39" t="s">
        <v>820</v>
      </c>
      <c r="C327" s="40" t="s">
        <v>490</v>
      </c>
      <c r="D327" s="40" t="s">
        <v>911</v>
      </c>
      <c r="E327" s="48"/>
      <c r="F327" s="48"/>
      <c r="G327" s="48"/>
      <c r="H327" s="48">
        <v>610</v>
      </c>
      <c r="I327" s="48">
        <v>122</v>
      </c>
      <c r="J327" s="48"/>
      <c r="K327" s="49">
        <v>80</v>
      </c>
      <c r="L327" s="49"/>
      <c r="M327" s="49"/>
      <c r="N327" s="49"/>
      <c r="O327" s="49"/>
      <c r="P327" s="49"/>
      <c r="Q327" s="49"/>
      <c r="R327" s="49"/>
      <c r="S327" s="49"/>
      <c r="T327" s="41" t="s">
        <v>584</v>
      </c>
      <c r="U327" s="42"/>
      <c r="V327" s="42"/>
      <c r="W327" s="42"/>
      <c r="X327" s="42"/>
      <c r="Y327" s="42"/>
      <c r="Z327" s="42"/>
      <c r="AA327" s="127">
        <f t="shared" si="5"/>
        <v>0</v>
      </c>
      <c r="AB327" s="43"/>
    </row>
    <row r="328" spans="1:28" ht="12.75">
      <c r="A328" s="38">
        <v>36008</v>
      </c>
      <c r="B328" s="39" t="s">
        <v>59</v>
      </c>
      <c r="C328" s="40" t="s">
        <v>586</v>
      </c>
      <c r="D328" s="40" t="s">
        <v>821</v>
      </c>
      <c r="E328" s="48"/>
      <c r="F328" s="48"/>
      <c r="G328" s="48"/>
      <c r="H328" s="48"/>
      <c r="I328" s="48"/>
      <c r="J328" s="48"/>
      <c r="K328" s="49"/>
      <c r="L328" s="49"/>
      <c r="M328" s="49"/>
      <c r="N328" s="49"/>
      <c r="O328" s="49"/>
      <c r="P328" s="49"/>
      <c r="Q328" s="49"/>
      <c r="R328" s="49"/>
      <c r="S328" s="49"/>
      <c r="T328" s="41"/>
      <c r="U328" s="42"/>
      <c r="V328" s="42"/>
      <c r="W328" s="42"/>
      <c r="X328" s="42">
        <v>881600</v>
      </c>
      <c r="Y328" s="42"/>
      <c r="Z328" s="42"/>
      <c r="AA328" s="127">
        <f t="shared" si="5"/>
        <v>881600</v>
      </c>
      <c r="AB328" s="43" t="s">
        <v>587</v>
      </c>
    </row>
    <row r="329" spans="1:28" ht="16.5">
      <c r="A329" s="38">
        <v>36008</v>
      </c>
      <c r="B329" s="39" t="s">
        <v>59</v>
      </c>
      <c r="C329" s="40" t="s">
        <v>211</v>
      </c>
      <c r="D329" s="40" t="s">
        <v>821</v>
      </c>
      <c r="E329" s="48"/>
      <c r="F329" s="48"/>
      <c r="G329" s="48"/>
      <c r="H329" s="48">
        <v>804</v>
      </c>
      <c r="I329" s="48">
        <v>154</v>
      </c>
      <c r="J329" s="48"/>
      <c r="K329" s="49"/>
      <c r="L329" s="49"/>
      <c r="M329" s="49"/>
      <c r="N329" s="49"/>
      <c r="O329" s="49"/>
      <c r="P329" s="49"/>
      <c r="Q329" s="49"/>
      <c r="R329" s="49"/>
      <c r="S329" s="49"/>
      <c r="T329" s="41"/>
      <c r="U329" s="42">
        <v>11907040.8</v>
      </c>
      <c r="V329" s="42"/>
      <c r="W329" s="42"/>
      <c r="X329" s="42"/>
      <c r="Y329" s="42"/>
      <c r="Z329" s="42"/>
      <c r="AA329" s="127">
        <f t="shared" si="5"/>
        <v>11907040.8</v>
      </c>
      <c r="AB329" s="43" t="s">
        <v>588</v>
      </c>
    </row>
    <row r="330" spans="1:28" ht="24.75">
      <c r="A330" s="38">
        <v>36008</v>
      </c>
      <c r="B330" s="39" t="s">
        <v>829</v>
      </c>
      <c r="C330" s="40" t="s">
        <v>589</v>
      </c>
      <c r="D330" s="40" t="s">
        <v>891</v>
      </c>
      <c r="E330" s="48"/>
      <c r="F330" s="48"/>
      <c r="G330" s="48"/>
      <c r="H330" s="48">
        <v>24</v>
      </c>
      <c r="I330" s="48">
        <v>9</v>
      </c>
      <c r="J330" s="48"/>
      <c r="K330" s="49"/>
      <c r="L330" s="49">
        <v>1</v>
      </c>
      <c r="M330" s="49"/>
      <c r="N330" s="49"/>
      <c r="O330" s="49"/>
      <c r="P330" s="49"/>
      <c r="Q330" s="49"/>
      <c r="R330" s="49"/>
      <c r="S330" s="49"/>
      <c r="T330" s="41" t="s">
        <v>94</v>
      </c>
      <c r="U330" s="42"/>
      <c r="V330" s="42"/>
      <c r="W330" s="42"/>
      <c r="X330" s="42"/>
      <c r="Y330" s="42"/>
      <c r="Z330" s="42"/>
      <c r="AA330" s="127">
        <f t="shared" si="5"/>
        <v>0</v>
      </c>
      <c r="AB330" s="43" t="s">
        <v>590</v>
      </c>
    </row>
    <row r="331" spans="1:28" ht="24.75">
      <c r="A331" s="38">
        <v>36008</v>
      </c>
      <c r="B331" s="39" t="s">
        <v>11</v>
      </c>
      <c r="C331" s="40" t="s">
        <v>251</v>
      </c>
      <c r="D331" s="40" t="s">
        <v>821</v>
      </c>
      <c r="E331" s="48">
        <v>1</v>
      </c>
      <c r="F331" s="48"/>
      <c r="G331" s="48"/>
      <c r="H331" s="48">
        <v>26</v>
      </c>
      <c r="I331" s="48">
        <v>6</v>
      </c>
      <c r="J331" s="48">
        <v>3</v>
      </c>
      <c r="K331" s="49">
        <v>2</v>
      </c>
      <c r="L331" s="49">
        <v>2</v>
      </c>
      <c r="M331" s="49"/>
      <c r="N331" s="49"/>
      <c r="O331" s="49"/>
      <c r="P331" s="49"/>
      <c r="Q331" s="49"/>
      <c r="R331" s="49">
        <v>1</v>
      </c>
      <c r="S331" s="49"/>
      <c r="T331" s="41" t="s">
        <v>591</v>
      </c>
      <c r="U331" s="42"/>
      <c r="V331" s="42"/>
      <c r="W331" s="42"/>
      <c r="X331" s="42"/>
      <c r="Y331" s="42"/>
      <c r="Z331" s="42"/>
      <c r="AA331" s="127">
        <f t="shared" si="5"/>
        <v>0</v>
      </c>
      <c r="AB331" s="43"/>
    </row>
    <row r="332" spans="1:28" ht="24.75">
      <c r="A332" s="38">
        <v>36008</v>
      </c>
      <c r="B332" s="39" t="s">
        <v>11</v>
      </c>
      <c r="C332" s="40" t="s">
        <v>592</v>
      </c>
      <c r="D332" s="40" t="s">
        <v>821</v>
      </c>
      <c r="E332" s="48"/>
      <c r="F332" s="48"/>
      <c r="G332" s="48"/>
      <c r="H332" s="48">
        <v>668</v>
      </c>
      <c r="I332" s="48">
        <v>209</v>
      </c>
      <c r="J332" s="48">
        <v>20</v>
      </c>
      <c r="K332" s="49">
        <v>97</v>
      </c>
      <c r="L332" s="49">
        <v>1</v>
      </c>
      <c r="M332" s="49"/>
      <c r="N332" s="49"/>
      <c r="O332" s="49"/>
      <c r="P332" s="49"/>
      <c r="Q332" s="49"/>
      <c r="R332" s="49"/>
      <c r="S332" s="49"/>
      <c r="T332" s="41" t="s">
        <v>595</v>
      </c>
      <c r="U332" s="42"/>
      <c r="V332" s="42"/>
      <c r="W332" s="42"/>
      <c r="X332" s="42"/>
      <c r="Y332" s="42"/>
      <c r="Z332" s="42"/>
      <c r="AA332" s="127">
        <f t="shared" si="5"/>
        <v>0</v>
      </c>
      <c r="AB332" s="43"/>
    </row>
    <row r="333" spans="1:28" ht="33">
      <c r="A333" s="38">
        <v>36008</v>
      </c>
      <c r="B333" s="39" t="s">
        <v>11</v>
      </c>
      <c r="C333" s="40" t="s">
        <v>596</v>
      </c>
      <c r="D333" s="40" t="s">
        <v>821</v>
      </c>
      <c r="E333" s="48"/>
      <c r="F333" s="48"/>
      <c r="G333" s="48"/>
      <c r="H333" s="48">
        <v>428</v>
      </c>
      <c r="I333" s="48">
        <v>67</v>
      </c>
      <c r="J333" s="48">
        <v>9</v>
      </c>
      <c r="K333" s="49">
        <v>30</v>
      </c>
      <c r="L333" s="49">
        <v>2</v>
      </c>
      <c r="M333" s="49"/>
      <c r="N333" s="49"/>
      <c r="O333" s="49"/>
      <c r="P333" s="49"/>
      <c r="Q333" s="49"/>
      <c r="R333" s="49"/>
      <c r="S333" s="49"/>
      <c r="T333" s="41" t="s">
        <v>597</v>
      </c>
      <c r="U333" s="42"/>
      <c r="V333" s="42"/>
      <c r="W333" s="42"/>
      <c r="X333" s="42"/>
      <c r="Y333" s="42"/>
      <c r="Z333" s="42"/>
      <c r="AA333" s="127">
        <f t="shared" si="5"/>
        <v>0</v>
      </c>
      <c r="AB333" s="43"/>
    </row>
    <row r="334" spans="1:28" ht="16.5">
      <c r="A334" s="38">
        <v>36008</v>
      </c>
      <c r="B334" s="39" t="s">
        <v>11</v>
      </c>
      <c r="C334" s="40" t="s">
        <v>598</v>
      </c>
      <c r="D334" s="40" t="s">
        <v>821</v>
      </c>
      <c r="E334" s="48"/>
      <c r="F334" s="48"/>
      <c r="G334" s="48"/>
      <c r="H334" s="48">
        <v>586</v>
      </c>
      <c r="I334" s="48">
        <v>140</v>
      </c>
      <c r="J334" s="48">
        <v>7</v>
      </c>
      <c r="K334" s="49"/>
      <c r="L334" s="49">
        <v>1</v>
      </c>
      <c r="M334" s="49"/>
      <c r="N334" s="49"/>
      <c r="O334" s="49"/>
      <c r="P334" s="49"/>
      <c r="Q334" s="49"/>
      <c r="R334" s="49"/>
      <c r="S334" s="49"/>
      <c r="T334" s="41" t="s">
        <v>599</v>
      </c>
      <c r="U334" s="42"/>
      <c r="V334" s="42"/>
      <c r="W334" s="42"/>
      <c r="X334" s="42"/>
      <c r="Y334" s="42"/>
      <c r="Z334" s="42"/>
      <c r="AA334" s="127">
        <f t="shared" si="5"/>
        <v>0</v>
      </c>
      <c r="AB334" s="43"/>
    </row>
    <row r="335" spans="1:28" ht="16.5">
      <c r="A335" s="38">
        <v>36008</v>
      </c>
      <c r="B335" s="39" t="s">
        <v>11</v>
      </c>
      <c r="C335" s="40" t="s">
        <v>510</v>
      </c>
      <c r="D335" s="40" t="s">
        <v>821</v>
      </c>
      <c r="E335" s="48"/>
      <c r="F335" s="48"/>
      <c r="G335" s="48"/>
      <c r="H335" s="48">
        <v>191</v>
      </c>
      <c r="I335" s="48">
        <v>54</v>
      </c>
      <c r="J335" s="48">
        <v>3</v>
      </c>
      <c r="K335" s="49">
        <v>46</v>
      </c>
      <c r="L335" s="49">
        <v>1</v>
      </c>
      <c r="M335" s="49"/>
      <c r="N335" s="49"/>
      <c r="O335" s="49"/>
      <c r="P335" s="49"/>
      <c r="Q335" s="49"/>
      <c r="R335" s="49"/>
      <c r="S335" s="49"/>
      <c r="T335" s="41" t="s">
        <v>600</v>
      </c>
      <c r="U335" s="42"/>
      <c r="V335" s="42"/>
      <c r="W335" s="42"/>
      <c r="X335" s="42"/>
      <c r="Y335" s="42"/>
      <c r="Z335" s="42"/>
      <c r="AA335" s="127">
        <f t="shared" si="5"/>
        <v>0</v>
      </c>
      <c r="AB335" s="43"/>
    </row>
    <row r="336" spans="1:28" ht="22.5">
      <c r="A336" s="38">
        <v>36008</v>
      </c>
      <c r="B336" s="39" t="s">
        <v>11</v>
      </c>
      <c r="C336" s="40" t="s">
        <v>601</v>
      </c>
      <c r="D336" s="40" t="s">
        <v>821</v>
      </c>
      <c r="E336" s="48"/>
      <c r="F336" s="48"/>
      <c r="G336" s="48"/>
      <c r="H336" s="48">
        <v>214</v>
      </c>
      <c r="I336" s="48">
        <v>40</v>
      </c>
      <c r="J336" s="48"/>
      <c r="K336" s="49">
        <v>40</v>
      </c>
      <c r="L336" s="49">
        <v>1</v>
      </c>
      <c r="M336" s="49"/>
      <c r="N336" s="49"/>
      <c r="O336" s="49"/>
      <c r="P336" s="49"/>
      <c r="Q336" s="49"/>
      <c r="R336" s="49"/>
      <c r="S336" s="49"/>
      <c r="T336" s="41" t="s">
        <v>602</v>
      </c>
      <c r="U336" s="42"/>
      <c r="V336" s="42"/>
      <c r="W336" s="42"/>
      <c r="X336" s="42"/>
      <c r="Y336" s="42"/>
      <c r="Z336" s="42"/>
      <c r="AA336" s="127">
        <f t="shared" si="5"/>
        <v>0</v>
      </c>
      <c r="AB336" s="43"/>
    </row>
    <row r="337" spans="1:28" ht="22.5">
      <c r="A337" s="38">
        <v>36008</v>
      </c>
      <c r="B337" s="39" t="s">
        <v>11</v>
      </c>
      <c r="C337" s="40" t="s">
        <v>603</v>
      </c>
      <c r="D337" s="40" t="s">
        <v>821</v>
      </c>
      <c r="E337" s="48"/>
      <c r="F337" s="48"/>
      <c r="G337" s="48"/>
      <c r="H337" s="48">
        <v>141</v>
      </c>
      <c r="I337" s="48">
        <v>34</v>
      </c>
      <c r="J337" s="48"/>
      <c r="K337" s="49">
        <v>34</v>
      </c>
      <c r="L337" s="49"/>
      <c r="M337" s="49"/>
      <c r="N337" s="49"/>
      <c r="O337" s="49"/>
      <c r="P337" s="49"/>
      <c r="Q337" s="49"/>
      <c r="R337" s="49"/>
      <c r="S337" s="49"/>
      <c r="T337" s="41" t="s">
        <v>604</v>
      </c>
      <c r="U337" s="42"/>
      <c r="V337" s="42"/>
      <c r="W337" s="42"/>
      <c r="X337" s="42"/>
      <c r="Y337" s="42"/>
      <c r="Z337" s="42"/>
      <c r="AA337" s="127">
        <f t="shared" si="5"/>
        <v>0</v>
      </c>
      <c r="AB337" s="43"/>
    </row>
    <row r="338" spans="1:28" ht="16.5">
      <c r="A338" s="38">
        <v>36008</v>
      </c>
      <c r="B338" s="39" t="s">
        <v>11</v>
      </c>
      <c r="C338" s="40" t="s">
        <v>605</v>
      </c>
      <c r="D338" s="40" t="s">
        <v>821</v>
      </c>
      <c r="E338" s="48"/>
      <c r="F338" s="48"/>
      <c r="G338" s="48"/>
      <c r="H338" s="48">
        <v>19</v>
      </c>
      <c r="I338" s="48">
        <v>4</v>
      </c>
      <c r="J338" s="48">
        <v>2</v>
      </c>
      <c r="K338" s="49">
        <v>1</v>
      </c>
      <c r="L338" s="49"/>
      <c r="M338" s="49"/>
      <c r="N338" s="49"/>
      <c r="O338" s="49"/>
      <c r="P338" s="49"/>
      <c r="Q338" s="49"/>
      <c r="R338" s="49"/>
      <c r="S338" s="49"/>
      <c r="T338" s="41" t="s">
        <v>606</v>
      </c>
      <c r="U338" s="42"/>
      <c r="V338" s="42"/>
      <c r="W338" s="42"/>
      <c r="X338" s="42"/>
      <c r="Y338" s="42"/>
      <c r="Z338" s="42"/>
      <c r="AA338" s="127">
        <f t="shared" si="5"/>
        <v>0</v>
      </c>
      <c r="AB338" s="43"/>
    </row>
    <row r="339" spans="1:28" ht="16.5">
      <c r="A339" s="38">
        <v>36008</v>
      </c>
      <c r="B339" s="39" t="s">
        <v>11</v>
      </c>
      <c r="C339" s="40" t="s">
        <v>607</v>
      </c>
      <c r="D339" s="40" t="s">
        <v>821</v>
      </c>
      <c r="E339" s="48"/>
      <c r="F339" s="48"/>
      <c r="G339" s="48"/>
      <c r="H339" s="48">
        <v>231</v>
      </c>
      <c r="I339" s="48">
        <v>50</v>
      </c>
      <c r="J339" s="48">
        <v>14</v>
      </c>
      <c r="K339" s="49">
        <v>36</v>
      </c>
      <c r="L339" s="49">
        <v>1</v>
      </c>
      <c r="M339" s="49"/>
      <c r="N339" s="49"/>
      <c r="O339" s="49">
        <v>1</v>
      </c>
      <c r="P339" s="49"/>
      <c r="Q339" s="49"/>
      <c r="R339" s="49"/>
      <c r="S339" s="49"/>
      <c r="T339" s="41" t="s">
        <v>608</v>
      </c>
      <c r="U339" s="42"/>
      <c r="V339" s="42"/>
      <c r="W339" s="42"/>
      <c r="X339" s="42"/>
      <c r="Y339" s="42"/>
      <c r="Z339" s="42"/>
      <c r="AA339" s="127">
        <f t="shared" si="5"/>
        <v>0</v>
      </c>
      <c r="AB339" s="43"/>
    </row>
    <row r="340" spans="1:28" ht="16.5">
      <c r="A340" s="38">
        <v>36008</v>
      </c>
      <c r="B340" s="39" t="s">
        <v>11</v>
      </c>
      <c r="C340" s="40" t="s">
        <v>609</v>
      </c>
      <c r="D340" s="40" t="s">
        <v>821</v>
      </c>
      <c r="E340" s="48"/>
      <c r="F340" s="48"/>
      <c r="G340" s="48"/>
      <c r="H340" s="48">
        <v>6</v>
      </c>
      <c r="I340" s="48">
        <v>1</v>
      </c>
      <c r="J340" s="48"/>
      <c r="K340" s="49"/>
      <c r="L340" s="49"/>
      <c r="M340" s="49"/>
      <c r="N340" s="49"/>
      <c r="O340" s="49"/>
      <c r="P340" s="49"/>
      <c r="Q340" s="49"/>
      <c r="R340" s="49"/>
      <c r="S340" s="49"/>
      <c r="T340" s="41" t="s">
        <v>611</v>
      </c>
      <c r="U340" s="42"/>
      <c r="V340" s="42"/>
      <c r="W340" s="42"/>
      <c r="X340" s="42"/>
      <c r="Y340" s="42"/>
      <c r="Z340" s="42"/>
      <c r="AA340" s="127">
        <f t="shared" si="5"/>
        <v>0</v>
      </c>
      <c r="AB340" s="43"/>
    </row>
    <row r="341" spans="1:28" ht="16.5">
      <c r="A341" s="38">
        <v>36008</v>
      </c>
      <c r="B341" s="39" t="s">
        <v>11</v>
      </c>
      <c r="C341" s="40" t="s">
        <v>612</v>
      </c>
      <c r="D341" s="40" t="s">
        <v>821</v>
      </c>
      <c r="E341" s="48"/>
      <c r="F341" s="48"/>
      <c r="G341" s="48"/>
      <c r="H341" s="48">
        <v>13</v>
      </c>
      <c r="I341" s="48">
        <v>4</v>
      </c>
      <c r="J341" s="48">
        <v>2</v>
      </c>
      <c r="K341" s="49">
        <v>2</v>
      </c>
      <c r="L341" s="49">
        <v>1</v>
      </c>
      <c r="M341" s="49">
        <v>6</v>
      </c>
      <c r="N341" s="49"/>
      <c r="O341" s="49"/>
      <c r="P341" s="49"/>
      <c r="Q341" s="49"/>
      <c r="R341" s="49"/>
      <c r="S341" s="49"/>
      <c r="T341" s="41" t="s">
        <v>628</v>
      </c>
      <c r="U341" s="42"/>
      <c r="V341" s="42"/>
      <c r="W341" s="42"/>
      <c r="X341" s="42"/>
      <c r="Y341" s="42"/>
      <c r="Z341" s="42"/>
      <c r="AA341" s="127">
        <f t="shared" si="5"/>
        <v>0</v>
      </c>
      <c r="AB341" s="43"/>
    </row>
    <row r="342" spans="1:28" ht="24.75">
      <c r="A342" s="38">
        <v>36008</v>
      </c>
      <c r="B342" s="39" t="s">
        <v>11</v>
      </c>
      <c r="C342" s="40" t="s">
        <v>60</v>
      </c>
      <c r="D342" s="40" t="s">
        <v>821</v>
      </c>
      <c r="E342" s="48"/>
      <c r="F342" s="48"/>
      <c r="G342" s="48"/>
      <c r="H342" s="48">
        <v>376</v>
      </c>
      <c r="I342" s="48">
        <v>105</v>
      </c>
      <c r="J342" s="48">
        <v>42</v>
      </c>
      <c r="K342" s="49">
        <v>37</v>
      </c>
      <c r="L342" s="49"/>
      <c r="M342" s="49">
        <v>1</v>
      </c>
      <c r="N342" s="49"/>
      <c r="O342" s="49"/>
      <c r="P342" s="49"/>
      <c r="Q342" s="49"/>
      <c r="R342" s="49"/>
      <c r="S342" s="49"/>
      <c r="T342" s="41" t="s">
        <v>629</v>
      </c>
      <c r="U342" s="42"/>
      <c r="V342" s="42"/>
      <c r="W342" s="42"/>
      <c r="X342" s="42"/>
      <c r="Y342" s="42"/>
      <c r="Z342" s="42"/>
      <c r="AA342" s="127">
        <f t="shared" si="5"/>
        <v>0</v>
      </c>
      <c r="AB342" s="43"/>
    </row>
    <row r="343" spans="1:28" ht="16.5">
      <c r="A343" s="38">
        <v>36008</v>
      </c>
      <c r="B343" s="39" t="s">
        <v>11</v>
      </c>
      <c r="C343" s="40" t="s">
        <v>630</v>
      </c>
      <c r="D343" s="40" t="s">
        <v>821</v>
      </c>
      <c r="E343" s="48"/>
      <c r="F343" s="48"/>
      <c r="G343" s="48"/>
      <c r="H343" s="48">
        <v>315</v>
      </c>
      <c r="I343" s="48">
        <v>63</v>
      </c>
      <c r="J343" s="48">
        <v>19</v>
      </c>
      <c r="K343" s="49">
        <v>8</v>
      </c>
      <c r="L343" s="49">
        <v>2</v>
      </c>
      <c r="M343" s="49">
        <v>1</v>
      </c>
      <c r="N343" s="49"/>
      <c r="O343" s="49"/>
      <c r="P343" s="49"/>
      <c r="Q343" s="49"/>
      <c r="R343" s="49"/>
      <c r="S343" s="49"/>
      <c r="T343" s="41" t="s">
        <v>631</v>
      </c>
      <c r="U343" s="42"/>
      <c r="V343" s="42"/>
      <c r="W343" s="42"/>
      <c r="X343" s="42"/>
      <c r="Y343" s="42"/>
      <c r="Z343" s="42"/>
      <c r="AA343" s="127">
        <f t="shared" si="5"/>
        <v>0</v>
      </c>
      <c r="AB343" s="43"/>
    </row>
    <row r="344" spans="1:28" ht="16.5">
      <c r="A344" s="38">
        <v>36008</v>
      </c>
      <c r="B344" s="39" t="s">
        <v>11</v>
      </c>
      <c r="C344" s="40" t="s">
        <v>875</v>
      </c>
      <c r="D344" s="40" t="s">
        <v>821</v>
      </c>
      <c r="E344" s="48"/>
      <c r="F344" s="48"/>
      <c r="G344" s="48"/>
      <c r="H344" s="48"/>
      <c r="I344" s="48"/>
      <c r="J344" s="48"/>
      <c r="K344" s="49"/>
      <c r="L344" s="49"/>
      <c r="M344" s="49"/>
      <c r="N344" s="49"/>
      <c r="O344" s="49"/>
      <c r="P344" s="49"/>
      <c r="Q344" s="49"/>
      <c r="R344" s="49"/>
      <c r="S344" s="49"/>
      <c r="T344" s="41"/>
      <c r="U344" s="42">
        <v>7632682</v>
      </c>
      <c r="V344" s="42">
        <v>9200000</v>
      </c>
      <c r="W344" s="42">
        <v>1377152</v>
      </c>
      <c r="X344" s="42"/>
      <c r="Y344" s="42"/>
      <c r="Z344" s="42"/>
      <c r="AA344" s="127">
        <f t="shared" si="5"/>
        <v>18209834</v>
      </c>
      <c r="AB344" s="43" t="s">
        <v>633</v>
      </c>
    </row>
    <row r="345" spans="1:28" ht="12.75">
      <c r="A345" s="38">
        <v>36008</v>
      </c>
      <c r="B345" s="39" t="s">
        <v>39</v>
      </c>
      <c r="C345" s="40" t="s">
        <v>636</v>
      </c>
      <c r="D345" s="40" t="s">
        <v>911</v>
      </c>
      <c r="E345" s="48"/>
      <c r="F345" s="48"/>
      <c r="G345" s="48"/>
      <c r="H345" s="48">
        <v>38</v>
      </c>
      <c r="I345" s="48">
        <v>7</v>
      </c>
      <c r="J345" s="48"/>
      <c r="K345" s="49">
        <v>7</v>
      </c>
      <c r="L345" s="49"/>
      <c r="M345" s="49"/>
      <c r="N345" s="49"/>
      <c r="O345" s="49"/>
      <c r="P345" s="49"/>
      <c r="Q345" s="49"/>
      <c r="R345" s="49">
        <v>1</v>
      </c>
      <c r="S345" s="49"/>
      <c r="T345" s="41"/>
      <c r="U345" s="42"/>
      <c r="V345" s="42"/>
      <c r="W345" s="42"/>
      <c r="X345" s="42"/>
      <c r="Y345" s="42"/>
      <c r="Z345" s="42"/>
      <c r="AA345" s="127">
        <f t="shared" si="5"/>
        <v>0</v>
      </c>
      <c r="AB345" s="43" t="s">
        <v>637</v>
      </c>
    </row>
    <row r="346" spans="1:28" ht="22.5">
      <c r="A346" s="38">
        <v>36008</v>
      </c>
      <c r="B346" s="39" t="s">
        <v>899</v>
      </c>
      <c r="C346" s="40" t="s">
        <v>385</v>
      </c>
      <c r="D346" s="40" t="s">
        <v>821</v>
      </c>
      <c r="E346" s="48"/>
      <c r="F346" s="48"/>
      <c r="G346" s="48"/>
      <c r="H346" s="48">
        <v>255</v>
      </c>
      <c r="I346" s="48">
        <v>51</v>
      </c>
      <c r="J346" s="48"/>
      <c r="K346" s="49"/>
      <c r="L346" s="49"/>
      <c r="M346" s="49"/>
      <c r="N346" s="49"/>
      <c r="O346" s="49"/>
      <c r="P346" s="49"/>
      <c r="Q346" s="49"/>
      <c r="R346" s="49"/>
      <c r="S346" s="49"/>
      <c r="T346" s="41"/>
      <c r="U346" s="42">
        <v>2781247.7</v>
      </c>
      <c r="V346" s="42">
        <v>1380000</v>
      </c>
      <c r="W346" s="42">
        <v>1711000</v>
      </c>
      <c r="X346" s="42"/>
      <c r="Y346" s="42"/>
      <c r="Z346" s="42"/>
      <c r="AA346" s="127">
        <f t="shared" si="5"/>
        <v>5872247.7</v>
      </c>
      <c r="AB346" s="43"/>
    </row>
    <row r="347" spans="1:28" ht="12.75">
      <c r="A347" s="38">
        <v>36008</v>
      </c>
      <c r="B347" s="39" t="s">
        <v>904</v>
      </c>
      <c r="C347" s="40" t="s">
        <v>646</v>
      </c>
      <c r="D347" s="40" t="s">
        <v>911</v>
      </c>
      <c r="E347" s="48"/>
      <c r="F347" s="48"/>
      <c r="G347" s="48"/>
      <c r="H347" s="48"/>
      <c r="I347" s="48"/>
      <c r="J347" s="48"/>
      <c r="K347" s="49"/>
      <c r="L347" s="49"/>
      <c r="M347" s="49"/>
      <c r="N347" s="49"/>
      <c r="O347" s="49"/>
      <c r="P347" s="49"/>
      <c r="Q347" s="49"/>
      <c r="R347" s="49"/>
      <c r="S347" s="49"/>
      <c r="T347" s="41"/>
      <c r="U347" s="42"/>
      <c r="V347" s="42"/>
      <c r="W347" s="42">
        <v>3422000</v>
      </c>
      <c r="X347" s="42"/>
      <c r="Y347" s="42"/>
      <c r="Z347" s="42"/>
      <c r="AA347" s="127">
        <f t="shared" si="5"/>
        <v>3422000</v>
      </c>
      <c r="AB347" s="43" t="s">
        <v>649</v>
      </c>
    </row>
    <row r="348" spans="1:28" ht="12.75">
      <c r="A348" s="38">
        <v>36008</v>
      </c>
      <c r="B348" s="39" t="s">
        <v>904</v>
      </c>
      <c r="C348" s="40" t="s">
        <v>685</v>
      </c>
      <c r="D348" s="40" t="s">
        <v>911</v>
      </c>
      <c r="E348" s="48"/>
      <c r="F348" s="48"/>
      <c r="G348" s="48"/>
      <c r="H348" s="48">
        <f>32*5</f>
        <v>160</v>
      </c>
      <c r="I348" s="48">
        <v>32</v>
      </c>
      <c r="J348" s="48"/>
      <c r="K348" s="49"/>
      <c r="L348" s="49"/>
      <c r="M348" s="49"/>
      <c r="N348" s="49"/>
      <c r="O348" s="49"/>
      <c r="P348" s="49"/>
      <c r="Q348" s="49"/>
      <c r="R348" s="49"/>
      <c r="S348" s="49"/>
      <c r="T348" s="41"/>
      <c r="U348" s="42"/>
      <c r="V348" s="42"/>
      <c r="W348" s="42">
        <v>1765752</v>
      </c>
      <c r="X348" s="42"/>
      <c r="Y348" s="42"/>
      <c r="Z348" s="42"/>
      <c r="AA348" s="127">
        <f t="shared" si="5"/>
        <v>1765752</v>
      </c>
      <c r="AB348" s="43"/>
    </row>
    <row r="349" spans="1:29" ht="12.75">
      <c r="A349" s="38">
        <v>36008</v>
      </c>
      <c r="B349" s="39" t="s">
        <v>904</v>
      </c>
      <c r="C349" s="40" t="s">
        <v>686</v>
      </c>
      <c r="D349" s="40" t="s">
        <v>911</v>
      </c>
      <c r="E349" s="48"/>
      <c r="F349" s="48"/>
      <c r="G349" s="48"/>
      <c r="H349" s="48">
        <f>68*5</f>
        <v>340</v>
      </c>
      <c r="I349" s="48">
        <v>68</v>
      </c>
      <c r="J349" s="48"/>
      <c r="K349" s="49"/>
      <c r="L349" s="49"/>
      <c r="M349" s="49"/>
      <c r="N349" s="49"/>
      <c r="O349" s="49"/>
      <c r="P349" s="49"/>
      <c r="Q349" s="49"/>
      <c r="R349" s="49"/>
      <c r="S349" s="49"/>
      <c r="T349" s="41"/>
      <c r="U349" s="42"/>
      <c r="V349" s="42"/>
      <c r="W349" s="42">
        <v>3244056</v>
      </c>
      <c r="X349" s="42"/>
      <c r="Y349" s="42"/>
      <c r="Z349" s="42"/>
      <c r="AA349" s="127">
        <f t="shared" si="5"/>
        <v>3244056</v>
      </c>
      <c r="AB349" s="43"/>
      <c r="AC349" s="4" t="s">
        <v>594</v>
      </c>
    </row>
    <row r="350" spans="1:29" ht="12.75">
      <c r="A350" s="38">
        <v>36008</v>
      </c>
      <c r="B350" s="39" t="s">
        <v>904</v>
      </c>
      <c r="C350" s="40" t="s">
        <v>687</v>
      </c>
      <c r="D350" s="40" t="s">
        <v>911</v>
      </c>
      <c r="E350" s="48"/>
      <c r="F350" s="48"/>
      <c r="G350" s="48"/>
      <c r="H350" s="48">
        <f>12*5</f>
        <v>60</v>
      </c>
      <c r="I350" s="48">
        <v>12</v>
      </c>
      <c r="J350" s="48"/>
      <c r="K350" s="49"/>
      <c r="L350" s="49"/>
      <c r="M350" s="49"/>
      <c r="N350" s="49"/>
      <c r="O350" s="49"/>
      <c r="P350" s="49"/>
      <c r="Q350" s="49"/>
      <c r="R350" s="49"/>
      <c r="S350" s="49"/>
      <c r="T350" s="41"/>
      <c r="U350" s="42"/>
      <c r="V350" s="42"/>
      <c r="W350" s="42">
        <v>944472</v>
      </c>
      <c r="X350" s="42"/>
      <c r="Y350" s="42"/>
      <c r="Z350" s="42"/>
      <c r="AA350" s="127">
        <f t="shared" si="5"/>
        <v>944472</v>
      </c>
      <c r="AB350" s="43"/>
      <c r="AC350" s="4" t="s">
        <v>594</v>
      </c>
    </row>
    <row r="351" spans="1:28" ht="22.5">
      <c r="A351" s="38">
        <v>36008</v>
      </c>
      <c r="B351" s="39" t="s">
        <v>904</v>
      </c>
      <c r="C351" s="40" t="s">
        <v>688</v>
      </c>
      <c r="D351" s="40" t="s">
        <v>911</v>
      </c>
      <c r="E351" s="48"/>
      <c r="F351" s="48"/>
      <c r="G351" s="48"/>
      <c r="H351" s="48">
        <f>11*5</f>
        <v>55</v>
      </c>
      <c r="I351" s="48">
        <v>11</v>
      </c>
      <c r="J351" s="48"/>
      <c r="K351" s="49"/>
      <c r="L351" s="49"/>
      <c r="M351" s="49"/>
      <c r="N351" s="49"/>
      <c r="O351" s="49"/>
      <c r="P351" s="49"/>
      <c r="Q351" s="49"/>
      <c r="R351" s="49"/>
      <c r="S351" s="49"/>
      <c r="T351" s="41"/>
      <c r="U351" s="42"/>
      <c r="V351" s="42"/>
      <c r="W351" s="42">
        <v>889720</v>
      </c>
      <c r="X351" s="42"/>
      <c r="Y351" s="42"/>
      <c r="Z351" s="42"/>
      <c r="AA351" s="127">
        <f t="shared" si="5"/>
        <v>889720</v>
      </c>
      <c r="AB351" s="43"/>
    </row>
    <row r="352" spans="1:28" ht="12.75">
      <c r="A352" s="38">
        <v>36008</v>
      </c>
      <c r="B352" s="39" t="s">
        <v>904</v>
      </c>
      <c r="C352" s="40" t="s">
        <v>689</v>
      </c>
      <c r="D352" s="40" t="s">
        <v>911</v>
      </c>
      <c r="E352" s="48"/>
      <c r="F352" s="48"/>
      <c r="G352" s="48"/>
      <c r="H352" s="48">
        <f>71*5</f>
        <v>355</v>
      </c>
      <c r="I352" s="48">
        <v>71</v>
      </c>
      <c r="J352" s="48"/>
      <c r="K352" s="49"/>
      <c r="L352" s="49"/>
      <c r="M352" s="49"/>
      <c r="N352" s="49"/>
      <c r="O352" s="49"/>
      <c r="P352" s="49"/>
      <c r="Q352" s="49"/>
      <c r="R352" s="49"/>
      <c r="S352" s="49"/>
      <c r="T352" s="41"/>
      <c r="U352" s="42"/>
      <c r="V352" s="42"/>
      <c r="W352" s="42">
        <v>3367248</v>
      </c>
      <c r="X352" s="42"/>
      <c r="Y352" s="42"/>
      <c r="Z352" s="42"/>
      <c r="AA352" s="127">
        <f t="shared" si="5"/>
        <v>3367248</v>
      </c>
      <c r="AB352" s="43"/>
    </row>
    <row r="353" spans="1:28" ht="12.75">
      <c r="A353" s="38">
        <v>36008</v>
      </c>
      <c r="B353" s="39" t="s">
        <v>904</v>
      </c>
      <c r="C353" s="40" t="s">
        <v>690</v>
      </c>
      <c r="D353" s="40" t="s">
        <v>911</v>
      </c>
      <c r="E353" s="48"/>
      <c r="F353" s="48"/>
      <c r="G353" s="48"/>
      <c r="H353" s="48">
        <f>8*5</f>
        <v>40</v>
      </c>
      <c r="I353" s="48">
        <v>8</v>
      </c>
      <c r="J353" s="48"/>
      <c r="K353" s="49"/>
      <c r="L353" s="49"/>
      <c r="M353" s="49"/>
      <c r="N353" s="49"/>
      <c r="O353" s="49"/>
      <c r="P353" s="49"/>
      <c r="Q353" s="49"/>
      <c r="R353" s="49"/>
      <c r="S353" s="49"/>
      <c r="T353" s="41"/>
      <c r="U353" s="42"/>
      <c r="V353" s="42"/>
      <c r="W353" s="42">
        <v>766528</v>
      </c>
      <c r="X353" s="42"/>
      <c r="Y353" s="42"/>
      <c r="Z353" s="42"/>
      <c r="AA353" s="127">
        <f t="shared" si="5"/>
        <v>766528</v>
      </c>
      <c r="AB353" s="43"/>
    </row>
    <row r="354" spans="1:28" ht="12.75">
      <c r="A354" s="38">
        <v>36008</v>
      </c>
      <c r="B354" s="39" t="s">
        <v>904</v>
      </c>
      <c r="C354" s="40" t="s">
        <v>646</v>
      </c>
      <c r="D354" s="40" t="s">
        <v>911</v>
      </c>
      <c r="E354" s="48"/>
      <c r="F354" s="48"/>
      <c r="G354" s="48"/>
      <c r="H354" s="48">
        <f>23*5</f>
        <v>115</v>
      </c>
      <c r="I354" s="48">
        <v>23</v>
      </c>
      <c r="J354" s="48"/>
      <c r="K354" s="49"/>
      <c r="L354" s="49"/>
      <c r="M354" s="49"/>
      <c r="N354" s="49"/>
      <c r="O354" s="49"/>
      <c r="P354" s="49"/>
      <c r="Q354" s="49"/>
      <c r="R354" s="49"/>
      <c r="S354" s="49"/>
      <c r="T354" s="41"/>
      <c r="U354" s="42"/>
      <c r="V354" s="42"/>
      <c r="W354" s="42">
        <v>1396176</v>
      </c>
      <c r="X354" s="42"/>
      <c r="Y354" s="42"/>
      <c r="Z354" s="42"/>
      <c r="AA354" s="127">
        <f t="shared" si="5"/>
        <v>1396176</v>
      </c>
      <c r="AB354" s="43"/>
    </row>
    <row r="355" spans="1:28" ht="12.75">
      <c r="A355" s="38">
        <v>36008</v>
      </c>
      <c r="B355" s="39" t="s">
        <v>904</v>
      </c>
      <c r="C355" s="40" t="s">
        <v>396</v>
      </c>
      <c r="D355" s="40" t="s">
        <v>911</v>
      </c>
      <c r="E355" s="48"/>
      <c r="F355" s="48"/>
      <c r="G355" s="48"/>
      <c r="H355" s="48">
        <f>21*5</f>
        <v>105</v>
      </c>
      <c r="I355" s="48">
        <v>21</v>
      </c>
      <c r="J355" s="48"/>
      <c r="K355" s="49"/>
      <c r="L355" s="49"/>
      <c r="M355" s="49"/>
      <c r="N355" s="49"/>
      <c r="O355" s="49"/>
      <c r="P355" s="49"/>
      <c r="Q355" s="49"/>
      <c r="R355" s="49"/>
      <c r="S355" s="49"/>
      <c r="T355" s="41"/>
      <c r="U355" s="42"/>
      <c r="V355" s="42"/>
      <c r="W355" s="42">
        <v>1314048</v>
      </c>
      <c r="X355" s="42"/>
      <c r="Y355" s="42"/>
      <c r="Z355" s="42"/>
      <c r="AA355" s="127">
        <f t="shared" si="5"/>
        <v>1314048</v>
      </c>
      <c r="AB355" s="43"/>
    </row>
    <row r="356" spans="1:28" ht="22.5">
      <c r="A356" s="38">
        <v>36013</v>
      </c>
      <c r="B356" s="39" t="s">
        <v>893</v>
      </c>
      <c r="C356" s="40" t="s">
        <v>765</v>
      </c>
      <c r="D356" s="40" t="s">
        <v>911</v>
      </c>
      <c r="E356" s="48"/>
      <c r="F356" s="48"/>
      <c r="G356" s="48"/>
      <c r="H356" s="48">
        <f>36*5</f>
        <v>180</v>
      </c>
      <c r="I356" s="48">
        <v>36</v>
      </c>
      <c r="J356" s="48"/>
      <c r="K356" s="49">
        <v>36</v>
      </c>
      <c r="L356" s="49"/>
      <c r="M356" s="49"/>
      <c r="N356" s="49"/>
      <c r="O356" s="49"/>
      <c r="P356" s="49"/>
      <c r="Q356" s="49"/>
      <c r="R356" s="49">
        <v>4</v>
      </c>
      <c r="S356" s="49">
        <v>1</v>
      </c>
      <c r="T356" s="41"/>
      <c r="U356" s="42"/>
      <c r="V356" s="42"/>
      <c r="W356" s="31"/>
      <c r="X356" s="42"/>
      <c r="Y356" s="42"/>
      <c r="Z356" s="42"/>
      <c r="AA356" s="127">
        <f t="shared" si="5"/>
        <v>0</v>
      </c>
      <c r="AB356" s="43" t="s">
        <v>766</v>
      </c>
    </row>
    <row r="357" spans="1:28" ht="12.75">
      <c r="A357" s="38">
        <v>36014</v>
      </c>
      <c r="B357" s="39" t="s">
        <v>310</v>
      </c>
      <c r="C357" s="40" t="s">
        <v>553</v>
      </c>
      <c r="D357" s="40" t="s">
        <v>821</v>
      </c>
      <c r="E357" s="48"/>
      <c r="F357" s="48"/>
      <c r="G357" s="48"/>
      <c r="H357" s="48">
        <v>120</v>
      </c>
      <c r="I357" s="48">
        <v>40</v>
      </c>
      <c r="J357" s="48"/>
      <c r="K357" s="49"/>
      <c r="L357" s="49"/>
      <c r="M357" s="49">
        <v>1</v>
      </c>
      <c r="N357" s="49"/>
      <c r="O357" s="49"/>
      <c r="P357" s="49"/>
      <c r="Q357" s="49"/>
      <c r="R357" s="49">
        <v>1</v>
      </c>
      <c r="S357" s="49"/>
      <c r="T357" s="41" t="s">
        <v>554</v>
      </c>
      <c r="U357" s="42">
        <v>1485700.8</v>
      </c>
      <c r="V357" s="42">
        <v>920000</v>
      </c>
      <c r="W357" s="61"/>
      <c r="X357" s="42"/>
      <c r="Y357" s="42"/>
      <c r="Z357" s="42"/>
      <c r="AA357" s="127">
        <f t="shared" si="5"/>
        <v>2405700.8</v>
      </c>
      <c r="AB357" s="43"/>
    </row>
    <row r="358" spans="1:28" ht="12.75">
      <c r="A358" s="38">
        <v>36017</v>
      </c>
      <c r="B358" s="39" t="s">
        <v>820</v>
      </c>
      <c r="C358" s="40" t="s">
        <v>585</v>
      </c>
      <c r="D358" s="40" t="s">
        <v>911</v>
      </c>
      <c r="E358" s="48"/>
      <c r="F358" s="48">
        <v>8</v>
      </c>
      <c r="G358" s="48"/>
      <c r="H358" s="48">
        <v>199</v>
      </c>
      <c r="I358" s="48">
        <v>49</v>
      </c>
      <c r="J358" s="48"/>
      <c r="K358" s="49">
        <v>49</v>
      </c>
      <c r="L358" s="49"/>
      <c r="M358" s="49"/>
      <c r="N358" s="49"/>
      <c r="O358" s="49"/>
      <c r="P358" s="49"/>
      <c r="Q358" s="49"/>
      <c r="R358" s="49"/>
      <c r="S358" s="49"/>
      <c r="T358" s="41" t="s">
        <v>208</v>
      </c>
      <c r="U358" s="42"/>
      <c r="V358" s="42">
        <v>1150000</v>
      </c>
      <c r="W358" s="42">
        <v>860430</v>
      </c>
      <c r="X358" s="42"/>
      <c r="Y358" s="42"/>
      <c r="Z358" s="42"/>
      <c r="AA358" s="127">
        <f t="shared" si="5"/>
        <v>2010430</v>
      </c>
      <c r="AB358" s="43" t="s">
        <v>732</v>
      </c>
    </row>
    <row r="359" spans="1:28" ht="22.5">
      <c r="A359" s="38">
        <v>36019</v>
      </c>
      <c r="B359" s="39" t="s">
        <v>899</v>
      </c>
      <c r="C359" s="40" t="s">
        <v>377</v>
      </c>
      <c r="D359" s="40" t="s">
        <v>82</v>
      </c>
      <c r="E359" s="48"/>
      <c r="F359" s="48"/>
      <c r="G359" s="48"/>
      <c r="H359" s="48"/>
      <c r="I359" s="48"/>
      <c r="J359" s="48"/>
      <c r="K359" s="49"/>
      <c r="L359" s="49"/>
      <c r="M359" s="49"/>
      <c r="N359" s="49"/>
      <c r="O359" s="49"/>
      <c r="P359" s="49"/>
      <c r="Q359" s="49"/>
      <c r="R359" s="49"/>
      <c r="S359" s="49"/>
      <c r="T359" s="41"/>
      <c r="U359" s="42"/>
      <c r="V359" s="42"/>
      <c r="W359" s="42"/>
      <c r="X359" s="42"/>
      <c r="Y359" s="42"/>
      <c r="Z359" s="42"/>
      <c r="AA359" s="127">
        <f t="shared" si="5"/>
        <v>0</v>
      </c>
      <c r="AB359" s="43" t="s">
        <v>645</v>
      </c>
    </row>
    <row r="360" spans="1:28" ht="16.5">
      <c r="A360" s="38">
        <v>36024</v>
      </c>
      <c r="B360" s="39" t="s">
        <v>41</v>
      </c>
      <c r="C360" s="40" t="s">
        <v>638</v>
      </c>
      <c r="D360" s="40" t="s">
        <v>879</v>
      </c>
      <c r="E360" s="48"/>
      <c r="F360" s="48">
        <v>9</v>
      </c>
      <c r="G360" s="48"/>
      <c r="H360" s="48">
        <v>35</v>
      </c>
      <c r="I360" s="48">
        <v>4</v>
      </c>
      <c r="J360" s="48">
        <v>7</v>
      </c>
      <c r="K360" s="49"/>
      <c r="L360" s="49"/>
      <c r="M360" s="49"/>
      <c r="N360" s="49"/>
      <c r="O360" s="49"/>
      <c r="P360" s="49"/>
      <c r="Q360" s="49"/>
      <c r="R360" s="49"/>
      <c r="S360" s="49"/>
      <c r="T360" s="41"/>
      <c r="U360" s="42"/>
      <c r="V360" s="42"/>
      <c r="W360" s="42"/>
      <c r="X360" s="42"/>
      <c r="Y360" s="42"/>
      <c r="Z360" s="42"/>
      <c r="AA360" s="127">
        <f t="shared" si="5"/>
        <v>0</v>
      </c>
      <c r="AB360" s="43" t="s">
        <v>654</v>
      </c>
    </row>
    <row r="361" spans="1:28" ht="22.5">
      <c r="A361" s="38">
        <v>36025</v>
      </c>
      <c r="B361" s="39" t="s">
        <v>13</v>
      </c>
      <c r="C361" s="40" t="s">
        <v>634</v>
      </c>
      <c r="D361" s="40" t="s">
        <v>911</v>
      </c>
      <c r="E361" s="48"/>
      <c r="F361" s="48"/>
      <c r="G361" s="48"/>
      <c r="H361" s="48">
        <v>588</v>
      </c>
      <c r="I361" s="48">
        <v>98</v>
      </c>
      <c r="J361" s="48"/>
      <c r="K361" s="49">
        <v>98</v>
      </c>
      <c r="L361" s="49"/>
      <c r="M361" s="49"/>
      <c r="N361" s="49"/>
      <c r="O361" s="49"/>
      <c r="P361" s="49"/>
      <c r="Q361" s="49"/>
      <c r="R361" s="49"/>
      <c r="S361" s="49"/>
      <c r="T361" s="41"/>
      <c r="U361" s="42"/>
      <c r="V361" s="42"/>
      <c r="W361" s="42">
        <v>16425599.999999998</v>
      </c>
      <c r="X361" s="42"/>
      <c r="Y361" s="42"/>
      <c r="Z361" s="42"/>
      <c r="AA361" s="127">
        <f t="shared" si="5"/>
        <v>16425599.999999998</v>
      </c>
      <c r="AB361" s="43" t="s">
        <v>635</v>
      </c>
    </row>
    <row r="362" spans="1:28" ht="12.75">
      <c r="A362" s="38">
        <v>36026</v>
      </c>
      <c r="B362" s="39" t="s">
        <v>889</v>
      </c>
      <c r="C362" s="40" t="s">
        <v>85</v>
      </c>
      <c r="D362" s="40" t="s">
        <v>879</v>
      </c>
      <c r="E362" s="48"/>
      <c r="F362" s="48"/>
      <c r="G362" s="48"/>
      <c r="H362" s="48">
        <v>20</v>
      </c>
      <c r="I362" s="48">
        <v>4</v>
      </c>
      <c r="J362" s="48">
        <v>4</v>
      </c>
      <c r="K362" s="49"/>
      <c r="L362" s="49"/>
      <c r="M362" s="49"/>
      <c r="N362" s="49"/>
      <c r="O362" s="49"/>
      <c r="P362" s="49"/>
      <c r="Q362" s="49"/>
      <c r="R362" s="49"/>
      <c r="S362" s="49"/>
      <c r="T362" s="41"/>
      <c r="U362" s="42"/>
      <c r="V362" s="42"/>
      <c r="W362" s="42"/>
      <c r="X362" s="42"/>
      <c r="Y362" s="42"/>
      <c r="Z362" s="42"/>
      <c r="AA362" s="127">
        <f t="shared" si="5"/>
        <v>0</v>
      </c>
      <c r="AB362" s="43" t="s">
        <v>670</v>
      </c>
    </row>
    <row r="363" spans="1:28" ht="16.5">
      <c r="A363" s="38">
        <v>36031</v>
      </c>
      <c r="B363" s="39" t="s">
        <v>92</v>
      </c>
      <c r="C363" s="40" t="s">
        <v>93</v>
      </c>
      <c r="D363" s="40" t="s">
        <v>821</v>
      </c>
      <c r="E363" s="48"/>
      <c r="F363" s="48"/>
      <c r="G363" s="48"/>
      <c r="H363" s="48">
        <v>655</v>
      </c>
      <c r="I363" s="48">
        <v>108</v>
      </c>
      <c r="J363" s="48"/>
      <c r="K363" s="49"/>
      <c r="L363" s="49"/>
      <c r="M363" s="49"/>
      <c r="N363" s="49"/>
      <c r="O363" s="49"/>
      <c r="P363" s="49"/>
      <c r="Q363" s="49"/>
      <c r="R363" s="49"/>
      <c r="S363" s="49"/>
      <c r="T363" s="41"/>
      <c r="U363" s="42"/>
      <c r="V363" s="42">
        <v>8050000</v>
      </c>
      <c r="W363" s="42"/>
      <c r="X363" s="42"/>
      <c r="Y363" s="42"/>
      <c r="Z363" s="42"/>
      <c r="AA363" s="127">
        <f t="shared" si="5"/>
        <v>8050000</v>
      </c>
      <c r="AB363" s="43" t="s">
        <v>650</v>
      </c>
    </row>
    <row r="364" spans="1:28" ht="82.5">
      <c r="A364" s="38">
        <v>36032</v>
      </c>
      <c r="B364" s="39" t="s">
        <v>877</v>
      </c>
      <c r="C364" s="40" t="s">
        <v>474</v>
      </c>
      <c r="D364" s="40" t="s">
        <v>821</v>
      </c>
      <c r="E364" s="48"/>
      <c r="F364" s="48"/>
      <c r="G364" s="48"/>
      <c r="H364" s="48">
        <f>259*5</f>
        <v>1295</v>
      </c>
      <c r="I364" s="48">
        <v>259</v>
      </c>
      <c r="J364" s="48"/>
      <c r="K364" s="49"/>
      <c r="L364" s="49"/>
      <c r="M364" s="49"/>
      <c r="N364" s="49"/>
      <c r="O364" s="49"/>
      <c r="P364" s="49"/>
      <c r="Q364" s="49"/>
      <c r="R364" s="49"/>
      <c r="S364" s="49"/>
      <c r="T364" s="41"/>
      <c r="U364" s="42">
        <v>5548922.19</v>
      </c>
      <c r="V364" s="42">
        <v>5957000</v>
      </c>
      <c r="W364" s="42"/>
      <c r="X364" s="42"/>
      <c r="Y364" s="42"/>
      <c r="Z364" s="42"/>
      <c r="AA364" s="127">
        <f t="shared" si="5"/>
        <v>11505922.190000001</v>
      </c>
      <c r="AB364" s="43" t="s">
        <v>673</v>
      </c>
    </row>
    <row r="365" spans="1:28" ht="23.25">
      <c r="A365" s="38">
        <v>36032</v>
      </c>
      <c r="B365" s="39" t="s">
        <v>22</v>
      </c>
      <c r="C365" s="40" t="s">
        <v>665</v>
      </c>
      <c r="D365" s="40" t="s">
        <v>879</v>
      </c>
      <c r="E365" s="48"/>
      <c r="F365" s="48"/>
      <c r="G365" s="48"/>
      <c r="H365" s="48">
        <v>35</v>
      </c>
      <c r="I365" s="48">
        <v>7</v>
      </c>
      <c r="J365" s="48">
        <v>7</v>
      </c>
      <c r="K365" s="49"/>
      <c r="L365" s="49"/>
      <c r="M365" s="49"/>
      <c r="N365" s="49"/>
      <c r="O365" s="49"/>
      <c r="P365" s="49"/>
      <c r="Q365" s="49"/>
      <c r="R365" s="49"/>
      <c r="S365" s="49"/>
      <c r="T365" s="41"/>
      <c r="U365" s="57"/>
      <c r="V365" s="42"/>
      <c r="W365" s="42"/>
      <c r="X365" s="42"/>
      <c r="Y365" s="42"/>
      <c r="Z365" s="42"/>
      <c r="AA365" s="127">
        <f t="shared" si="5"/>
        <v>0</v>
      </c>
      <c r="AB365" s="43" t="s">
        <v>666</v>
      </c>
    </row>
    <row r="366" spans="1:28" ht="41.25">
      <c r="A366" s="38">
        <v>36035</v>
      </c>
      <c r="B366" s="39" t="s">
        <v>877</v>
      </c>
      <c r="C366" s="40" t="s">
        <v>519</v>
      </c>
      <c r="D366" s="40" t="s">
        <v>821</v>
      </c>
      <c r="E366" s="48"/>
      <c r="F366" s="48"/>
      <c r="G366" s="48"/>
      <c r="H366" s="48">
        <v>2019</v>
      </c>
      <c r="I366" s="48">
        <v>427</v>
      </c>
      <c r="J366" s="48">
        <v>38</v>
      </c>
      <c r="K366" s="49">
        <v>389</v>
      </c>
      <c r="L366" s="49"/>
      <c r="M366" s="49"/>
      <c r="N366" s="49"/>
      <c r="O366" s="49"/>
      <c r="P366" s="49"/>
      <c r="Q366" s="49"/>
      <c r="R366" s="49">
        <v>2</v>
      </c>
      <c r="S366" s="49"/>
      <c r="T366" s="41"/>
      <c r="U366" s="42">
        <v>2563712.16</v>
      </c>
      <c r="V366" s="42">
        <v>9890000</v>
      </c>
      <c r="W366" s="42">
        <v>10266000</v>
      </c>
      <c r="X366" s="42">
        <v>881600</v>
      </c>
      <c r="Y366" s="42"/>
      <c r="Z366" s="42"/>
      <c r="AA366" s="127">
        <f t="shared" si="5"/>
        <v>23601312.16</v>
      </c>
      <c r="AB366" s="43" t="s">
        <v>648</v>
      </c>
    </row>
    <row r="367" spans="1:28" ht="22.5">
      <c r="A367" s="38">
        <v>36036</v>
      </c>
      <c r="B367" s="39" t="s">
        <v>366</v>
      </c>
      <c r="C367" s="40" t="s">
        <v>652</v>
      </c>
      <c r="D367" s="40" t="s">
        <v>911</v>
      </c>
      <c r="E367" s="48"/>
      <c r="F367" s="48">
        <v>1</v>
      </c>
      <c r="G367" s="48"/>
      <c r="H367" s="48">
        <f>43*5</f>
        <v>215</v>
      </c>
      <c r="I367" s="48">
        <f>17+3+2+6+5+6+3+1</f>
        <v>43</v>
      </c>
      <c r="J367" s="48"/>
      <c r="K367" s="49">
        <v>43</v>
      </c>
      <c r="L367" s="49"/>
      <c r="M367" s="49"/>
      <c r="N367" s="49"/>
      <c r="O367" s="49">
        <v>1</v>
      </c>
      <c r="P367" s="49"/>
      <c r="Q367" s="49"/>
      <c r="R367" s="49"/>
      <c r="S367" s="49"/>
      <c r="T367" s="41"/>
      <c r="U367" s="42"/>
      <c r="V367" s="42"/>
      <c r="W367" s="42"/>
      <c r="X367" s="42"/>
      <c r="Y367" s="42"/>
      <c r="Z367" s="42"/>
      <c r="AA367" s="127">
        <f t="shared" si="5"/>
        <v>0</v>
      </c>
      <c r="AB367" s="43" t="s">
        <v>653</v>
      </c>
    </row>
    <row r="368" spans="1:28" ht="16.5">
      <c r="A368" s="38">
        <v>36037</v>
      </c>
      <c r="B368" s="39" t="s">
        <v>877</v>
      </c>
      <c r="C368" s="40" t="s">
        <v>651</v>
      </c>
      <c r="D368" s="40" t="s">
        <v>911</v>
      </c>
      <c r="E368" s="48"/>
      <c r="F368" s="48"/>
      <c r="G368" s="48"/>
      <c r="H368" s="48">
        <f>71*5</f>
        <v>355</v>
      </c>
      <c r="I368" s="48">
        <v>71</v>
      </c>
      <c r="J368" s="48">
        <v>15</v>
      </c>
      <c r="K368" s="49">
        <v>55</v>
      </c>
      <c r="L368" s="49"/>
      <c r="M368" s="49"/>
      <c r="N368" s="49">
        <v>2</v>
      </c>
      <c r="O368" s="49"/>
      <c r="P368" s="49"/>
      <c r="Q368" s="49"/>
      <c r="R368" s="49">
        <v>16</v>
      </c>
      <c r="S368" s="49">
        <v>2</v>
      </c>
      <c r="T368" s="41"/>
      <c r="U368" s="42"/>
      <c r="V368" s="42"/>
      <c r="W368" s="42">
        <v>1574120</v>
      </c>
      <c r="X368" s="42"/>
      <c r="Y368" s="42"/>
      <c r="Z368" s="42"/>
      <c r="AA368" s="127">
        <f t="shared" si="5"/>
        <v>1574120</v>
      </c>
      <c r="AB368" s="43" t="s">
        <v>731</v>
      </c>
    </row>
    <row r="369" spans="1:28" ht="41.25">
      <c r="A369" s="38">
        <v>36038</v>
      </c>
      <c r="B369" s="39" t="s">
        <v>59</v>
      </c>
      <c r="C369" s="40" t="s">
        <v>662</v>
      </c>
      <c r="D369" s="40" t="s">
        <v>821</v>
      </c>
      <c r="E369" s="48"/>
      <c r="F369" s="48"/>
      <c r="G369" s="48"/>
      <c r="H369" s="48">
        <v>508</v>
      </c>
      <c r="I369" s="48">
        <v>91</v>
      </c>
      <c r="J369" s="48"/>
      <c r="K369" s="49">
        <v>3</v>
      </c>
      <c r="L369" s="49"/>
      <c r="M369" s="49"/>
      <c r="N369" s="49"/>
      <c r="O369" s="49"/>
      <c r="P369" s="49"/>
      <c r="Q369" s="49"/>
      <c r="R369" s="49"/>
      <c r="S369" s="49"/>
      <c r="T369" s="41"/>
      <c r="U369" s="57">
        <v>3320655.6</v>
      </c>
      <c r="V369" s="42"/>
      <c r="W369" s="42"/>
      <c r="X369" s="42"/>
      <c r="Y369" s="42"/>
      <c r="Z369" s="42"/>
      <c r="AA369" s="127">
        <f t="shared" si="5"/>
        <v>3320655.6</v>
      </c>
      <c r="AB369" s="43" t="s">
        <v>698</v>
      </c>
    </row>
    <row r="370" spans="1:28" ht="12.75">
      <c r="A370" s="38">
        <v>36038</v>
      </c>
      <c r="B370" s="39" t="s">
        <v>658</v>
      </c>
      <c r="C370" s="40" t="s">
        <v>659</v>
      </c>
      <c r="D370" s="40" t="s">
        <v>821</v>
      </c>
      <c r="E370" s="48"/>
      <c r="F370" s="48"/>
      <c r="G370" s="48"/>
      <c r="H370" s="48">
        <f>350*5</f>
        <v>1750</v>
      </c>
      <c r="I370" s="48">
        <v>350</v>
      </c>
      <c r="J370" s="48"/>
      <c r="K370" s="49"/>
      <c r="L370" s="49"/>
      <c r="M370" s="49"/>
      <c r="N370" s="49"/>
      <c r="O370" s="49"/>
      <c r="P370" s="49"/>
      <c r="Q370" s="49"/>
      <c r="R370" s="49"/>
      <c r="S370" s="49"/>
      <c r="T370" s="41"/>
      <c r="U370" s="42">
        <v>54035842</v>
      </c>
      <c r="V370" s="42">
        <v>8050000</v>
      </c>
      <c r="W370" s="59"/>
      <c r="X370" s="42"/>
      <c r="Y370" s="42"/>
      <c r="Z370" s="42"/>
      <c r="AA370" s="127">
        <f t="shared" si="5"/>
        <v>62085842</v>
      </c>
      <c r="AB370" s="43" t="s">
        <v>661</v>
      </c>
    </row>
    <row r="371" spans="1:28" ht="22.5">
      <c r="A371" s="38">
        <v>36038</v>
      </c>
      <c r="B371" s="39" t="s">
        <v>658</v>
      </c>
      <c r="C371" s="40" t="s">
        <v>660</v>
      </c>
      <c r="D371" s="40" t="s">
        <v>821</v>
      </c>
      <c r="E371" s="48"/>
      <c r="F371" s="48"/>
      <c r="G371" s="48"/>
      <c r="H371" s="48">
        <f>150*5</f>
        <v>750</v>
      </c>
      <c r="I371" s="48">
        <v>150</v>
      </c>
      <c r="J371" s="48"/>
      <c r="K371" s="49"/>
      <c r="L371" s="49"/>
      <c r="M371" s="49"/>
      <c r="N371" s="49"/>
      <c r="O371" s="49"/>
      <c r="P371" s="49"/>
      <c r="Q371" s="49"/>
      <c r="R371" s="49"/>
      <c r="S371" s="49"/>
      <c r="T371" s="41"/>
      <c r="U371" s="42">
        <v>16689531</v>
      </c>
      <c r="V371" s="42">
        <v>3450000</v>
      </c>
      <c r="W371" s="42"/>
      <c r="X371" s="42"/>
      <c r="Y371" s="42"/>
      <c r="Z371" s="42"/>
      <c r="AA371" s="127">
        <f t="shared" si="5"/>
        <v>20139531</v>
      </c>
      <c r="AB371" s="43"/>
    </row>
    <row r="372" spans="1:28" ht="24.75">
      <c r="A372" s="38">
        <v>36038</v>
      </c>
      <c r="B372" s="39" t="s">
        <v>893</v>
      </c>
      <c r="C372" s="40" t="s">
        <v>560</v>
      </c>
      <c r="D372" s="40" t="s">
        <v>911</v>
      </c>
      <c r="E372" s="48"/>
      <c r="F372" s="48"/>
      <c r="G372" s="48"/>
      <c r="H372" s="48">
        <v>280</v>
      </c>
      <c r="I372" s="48">
        <v>37</v>
      </c>
      <c r="J372" s="48"/>
      <c r="K372" s="49">
        <v>37</v>
      </c>
      <c r="L372" s="49"/>
      <c r="M372" s="49"/>
      <c r="N372" s="49"/>
      <c r="O372" s="49"/>
      <c r="P372" s="49"/>
      <c r="Q372" s="49"/>
      <c r="R372" s="49"/>
      <c r="S372" s="49"/>
      <c r="T372" s="41" t="s">
        <v>692</v>
      </c>
      <c r="U372" s="42"/>
      <c r="V372" s="42"/>
      <c r="W372" s="42">
        <v>6707120</v>
      </c>
      <c r="X372" s="42"/>
      <c r="Y372" s="42"/>
      <c r="Z372" s="42"/>
      <c r="AA372" s="127">
        <f t="shared" si="5"/>
        <v>6707120</v>
      </c>
      <c r="AB372" s="43" t="s">
        <v>693</v>
      </c>
    </row>
    <row r="373" spans="1:28" ht="16.5">
      <c r="A373" s="38">
        <v>36040</v>
      </c>
      <c r="B373" s="39" t="s">
        <v>829</v>
      </c>
      <c r="C373" s="40" t="s">
        <v>589</v>
      </c>
      <c r="D373" s="40" t="s">
        <v>891</v>
      </c>
      <c r="E373" s="48"/>
      <c r="F373" s="48"/>
      <c r="G373" s="48"/>
      <c r="H373" s="48">
        <f>19*5</f>
        <v>95</v>
      </c>
      <c r="I373" s="48">
        <v>19</v>
      </c>
      <c r="J373" s="48">
        <v>9</v>
      </c>
      <c r="K373" s="49"/>
      <c r="L373" s="49">
        <v>1</v>
      </c>
      <c r="M373" s="49"/>
      <c r="N373" s="49"/>
      <c r="O373" s="49"/>
      <c r="P373" s="49"/>
      <c r="Q373" s="49"/>
      <c r="R373" s="49"/>
      <c r="S373" s="49"/>
      <c r="T373" s="41"/>
      <c r="U373" s="42"/>
      <c r="V373" s="42"/>
      <c r="W373" s="42"/>
      <c r="X373" s="42"/>
      <c r="Y373" s="42"/>
      <c r="Z373" s="42"/>
      <c r="AA373" s="127">
        <f t="shared" si="5"/>
        <v>0</v>
      </c>
      <c r="AB373" s="43" t="s">
        <v>721</v>
      </c>
    </row>
    <row r="374" spans="1:28" ht="33">
      <c r="A374" s="38">
        <v>36042</v>
      </c>
      <c r="B374" s="39" t="s">
        <v>899</v>
      </c>
      <c r="C374" s="40" t="s">
        <v>733</v>
      </c>
      <c r="D374" s="40" t="s">
        <v>891</v>
      </c>
      <c r="E374" s="48"/>
      <c r="F374" s="48"/>
      <c r="G374" s="48"/>
      <c r="H374" s="48">
        <v>250</v>
      </c>
      <c r="I374" s="48">
        <v>50</v>
      </c>
      <c r="J374" s="48"/>
      <c r="K374" s="49">
        <v>50</v>
      </c>
      <c r="L374" s="49"/>
      <c r="M374" s="49"/>
      <c r="N374" s="49"/>
      <c r="O374" s="49"/>
      <c r="P374" s="49"/>
      <c r="Q374" s="49"/>
      <c r="R374" s="49"/>
      <c r="S374" s="49"/>
      <c r="T374" s="41"/>
      <c r="U374" s="42"/>
      <c r="V374" s="42">
        <v>1150000</v>
      </c>
      <c r="W374" s="42">
        <v>684400</v>
      </c>
      <c r="X374" s="42"/>
      <c r="Y374" s="42"/>
      <c r="Z374" s="42"/>
      <c r="AA374" s="127">
        <f t="shared" si="5"/>
        <v>1834400</v>
      </c>
      <c r="AB374" s="43" t="s">
        <v>123</v>
      </c>
    </row>
    <row r="375" spans="1:28" ht="24.75">
      <c r="A375" s="38">
        <v>36042</v>
      </c>
      <c r="B375" s="39" t="s">
        <v>899</v>
      </c>
      <c r="C375" s="40" t="s">
        <v>475</v>
      </c>
      <c r="D375" s="40" t="s">
        <v>821</v>
      </c>
      <c r="E375" s="48"/>
      <c r="F375" s="48"/>
      <c r="G375" s="48"/>
      <c r="H375" s="48"/>
      <c r="I375" s="48"/>
      <c r="J375" s="48"/>
      <c r="K375" s="49"/>
      <c r="L375" s="49"/>
      <c r="M375" s="49"/>
      <c r="N375" s="49"/>
      <c r="O375" s="49"/>
      <c r="P375" s="49"/>
      <c r="Q375" s="49"/>
      <c r="R375" s="49"/>
      <c r="S375" s="49"/>
      <c r="T375" s="41"/>
      <c r="U375" s="42"/>
      <c r="V375" s="42"/>
      <c r="W375" s="42"/>
      <c r="X375" s="42"/>
      <c r="Y375" s="42"/>
      <c r="Z375" s="42"/>
      <c r="AA375" s="127">
        <f t="shared" si="5"/>
        <v>0</v>
      </c>
      <c r="AB375" s="43" t="s">
        <v>722</v>
      </c>
    </row>
    <row r="376" spans="1:28" ht="12.75">
      <c r="A376" s="38">
        <v>36043</v>
      </c>
      <c r="B376" s="39" t="s">
        <v>820</v>
      </c>
      <c r="C376" s="40" t="s">
        <v>671</v>
      </c>
      <c r="D376" s="40" t="s">
        <v>891</v>
      </c>
      <c r="E376" s="48"/>
      <c r="F376" s="48"/>
      <c r="G376" s="48"/>
      <c r="H376" s="48">
        <v>32</v>
      </c>
      <c r="I376" s="48">
        <v>8</v>
      </c>
      <c r="J376" s="48">
        <v>7</v>
      </c>
      <c r="K376" s="49">
        <v>4</v>
      </c>
      <c r="L376" s="49"/>
      <c r="M376" s="49"/>
      <c r="N376" s="49"/>
      <c r="O376" s="49"/>
      <c r="P376" s="49"/>
      <c r="Q376" s="49"/>
      <c r="R376" s="49"/>
      <c r="S376" s="49"/>
      <c r="T376" s="41"/>
      <c r="U376" s="42"/>
      <c r="V376" s="42"/>
      <c r="W376" s="42"/>
      <c r="X376" s="42"/>
      <c r="Y376" s="42"/>
      <c r="Z376" s="42"/>
      <c r="AA376" s="127">
        <f t="shared" si="5"/>
        <v>0</v>
      </c>
      <c r="AB376" s="43" t="s">
        <v>672</v>
      </c>
    </row>
    <row r="377" spans="1:28" ht="33">
      <c r="A377" s="38">
        <v>36044</v>
      </c>
      <c r="B377" s="39" t="s">
        <v>13</v>
      </c>
      <c r="C377" s="40" t="s">
        <v>767</v>
      </c>
      <c r="D377" s="40" t="s">
        <v>891</v>
      </c>
      <c r="E377" s="48"/>
      <c r="F377" s="48"/>
      <c r="G377" s="48"/>
      <c r="H377" s="48"/>
      <c r="I377" s="48"/>
      <c r="J377" s="48"/>
      <c r="K377" s="49"/>
      <c r="L377" s="49">
        <v>5</v>
      </c>
      <c r="M377" s="49">
        <v>3</v>
      </c>
      <c r="N377" s="49"/>
      <c r="O377" s="49"/>
      <c r="P377" s="49"/>
      <c r="Q377" s="49"/>
      <c r="R377" s="49"/>
      <c r="S377" s="49"/>
      <c r="T377" s="41" t="s">
        <v>768</v>
      </c>
      <c r="U377" s="42"/>
      <c r="V377" s="42"/>
      <c r="W377" s="42"/>
      <c r="X377" s="42"/>
      <c r="Y377" s="42"/>
      <c r="Z377" s="42">
        <v>5000000</v>
      </c>
      <c r="AA377" s="127">
        <f t="shared" si="5"/>
        <v>5000000</v>
      </c>
      <c r="AB377" s="43" t="s">
        <v>772</v>
      </c>
    </row>
    <row r="378" spans="1:28" ht="22.5">
      <c r="A378" s="38">
        <v>36045</v>
      </c>
      <c r="B378" s="39" t="s">
        <v>126</v>
      </c>
      <c r="C378" s="40" t="s">
        <v>667</v>
      </c>
      <c r="D378" s="40" t="s">
        <v>911</v>
      </c>
      <c r="E378" s="48"/>
      <c r="F378" s="48"/>
      <c r="G378" s="48"/>
      <c r="H378" s="48">
        <f>80*5</f>
        <v>400</v>
      </c>
      <c r="I378" s="48">
        <v>80</v>
      </c>
      <c r="J378" s="48"/>
      <c r="K378" s="49"/>
      <c r="L378" s="49"/>
      <c r="M378" s="49"/>
      <c r="N378" s="49"/>
      <c r="O378" s="49"/>
      <c r="P378" s="49"/>
      <c r="Q378" s="49">
        <v>1</v>
      </c>
      <c r="R378" s="49">
        <v>2</v>
      </c>
      <c r="S378" s="49">
        <v>2</v>
      </c>
      <c r="T378" s="41"/>
      <c r="U378" s="42"/>
      <c r="V378" s="42"/>
      <c r="W378" s="42"/>
      <c r="X378" s="42"/>
      <c r="Y378" s="42"/>
      <c r="Z378" s="42"/>
      <c r="AA378" s="127">
        <f t="shared" si="5"/>
        <v>0</v>
      </c>
      <c r="AB378" s="43" t="s">
        <v>668</v>
      </c>
    </row>
    <row r="379" spans="1:28" ht="24.75">
      <c r="A379" s="38">
        <v>36045</v>
      </c>
      <c r="B379" s="39" t="s">
        <v>13</v>
      </c>
      <c r="C379" s="40" t="s">
        <v>656</v>
      </c>
      <c r="D379" s="40" t="s">
        <v>911</v>
      </c>
      <c r="E379" s="48"/>
      <c r="F379" s="48"/>
      <c r="G379" s="48"/>
      <c r="H379" s="48"/>
      <c r="I379" s="48"/>
      <c r="J379" s="48"/>
      <c r="K379" s="49"/>
      <c r="L379" s="49"/>
      <c r="M379" s="49"/>
      <c r="N379" s="49"/>
      <c r="O379" s="49"/>
      <c r="P379" s="49"/>
      <c r="Q379" s="49"/>
      <c r="R379" s="49"/>
      <c r="S379" s="49"/>
      <c r="T379" s="41"/>
      <c r="U379" s="42"/>
      <c r="V379" s="42">
        <v>2300000</v>
      </c>
      <c r="W379" s="59">
        <v>1368800</v>
      </c>
      <c r="X379" s="42"/>
      <c r="Y379" s="42"/>
      <c r="Z379" s="42">
        <v>15000000</v>
      </c>
      <c r="AA379" s="127">
        <f t="shared" si="5"/>
        <v>18668800</v>
      </c>
      <c r="AB379" s="43" t="s">
        <v>657</v>
      </c>
    </row>
    <row r="380" spans="1:28" ht="12.75">
      <c r="A380" s="38">
        <v>36046</v>
      </c>
      <c r="B380" s="39" t="s">
        <v>34</v>
      </c>
      <c r="C380" s="40" t="s">
        <v>683</v>
      </c>
      <c r="D380" s="40" t="s">
        <v>107</v>
      </c>
      <c r="E380" s="48"/>
      <c r="F380" s="48"/>
      <c r="G380" s="48"/>
      <c r="H380" s="48">
        <f>65*5</f>
        <v>325</v>
      </c>
      <c r="I380" s="48">
        <v>65</v>
      </c>
      <c r="J380" s="48"/>
      <c r="K380" s="49"/>
      <c r="L380" s="49"/>
      <c r="M380" s="49"/>
      <c r="N380" s="49"/>
      <c r="O380" s="49"/>
      <c r="P380" s="49"/>
      <c r="Q380" s="49"/>
      <c r="R380" s="49"/>
      <c r="S380" s="49"/>
      <c r="T380" s="41"/>
      <c r="U380" s="42">
        <v>8795700</v>
      </c>
      <c r="V380" s="42"/>
      <c r="W380" s="42"/>
      <c r="X380" s="42"/>
      <c r="Y380" s="42"/>
      <c r="Z380" s="42"/>
      <c r="AA380" s="127">
        <f t="shared" si="5"/>
        <v>8795700</v>
      </c>
      <c r="AB380" s="43" t="s">
        <v>684</v>
      </c>
    </row>
    <row r="381" spans="1:28" ht="24.75">
      <c r="A381" s="38">
        <v>36048</v>
      </c>
      <c r="B381" s="39" t="s">
        <v>893</v>
      </c>
      <c r="C381" s="40" t="s">
        <v>560</v>
      </c>
      <c r="D381" s="40" t="s">
        <v>821</v>
      </c>
      <c r="E381" s="48"/>
      <c r="F381" s="48"/>
      <c r="G381" s="48"/>
      <c r="H381" s="48">
        <f>80*5</f>
        <v>400</v>
      </c>
      <c r="I381" s="48">
        <v>80</v>
      </c>
      <c r="J381" s="48"/>
      <c r="K381" s="49">
        <v>80</v>
      </c>
      <c r="L381" s="49"/>
      <c r="M381" s="49"/>
      <c r="N381" s="49"/>
      <c r="O381" s="49"/>
      <c r="P381" s="49"/>
      <c r="Q381" s="49"/>
      <c r="R381" s="49"/>
      <c r="S381" s="49"/>
      <c r="T381" s="41" t="s">
        <v>804</v>
      </c>
      <c r="U381" s="42"/>
      <c r="V381" s="42"/>
      <c r="W381" s="42"/>
      <c r="X381" s="42"/>
      <c r="Y381" s="42"/>
      <c r="Z381" s="42"/>
      <c r="AA381" s="127">
        <f t="shared" si="5"/>
        <v>0</v>
      </c>
      <c r="AB381" s="43" t="s">
        <v>806</v>
      </c>
    </row>
    <row r="382" spans="1:28" ht="24.75">
      <c r="A382" s="38">
        <v>36048</v>
      </c>
      <c r="B382" s="39" t="s">
        <v>893</v>
      </c>
      <c r="C382" s="40" t="s">
        <v>758</v>
      </c>
      <c r="D382" s="40" t="s">
        <v>911</v>
      </c>
      <c r="E382" s="48"/>
      <c r="F382" s="48"/>
      <c r="G382" s="48"/>
      <c r="H382" s="48">
        <f>70*5</f>
        <v>350</v>
      </c>
      <c r="I382" s="48">
        <v>70</v>
      </c>
      <c r="J382" s="48"/>
      <c r="K382" s="49">
        <v>70</v>
      </c>
      <c r="L382" s="49"/>
      <c r="M382" s="49"/>
      <c r="N382" s="49"/>
      <c r="O382" s="49"/>
      <c r="P382" s="49"/>
      <c r="Q382" s="49"/>
      <c r="R382" s="49"/>
      <c r="S382" s="49"/>
      <c r="T382" s="41" t="s">
        <v>94</v>
      </c>
      <c r="U382" s="42"/>
      <c r="V382" s="42"/>
      <c r="W382" s="42">
        <v>6843999.999999999</v>
      </c>
      <c r="X382" s="42"/>
      <c r="Y382" s="42"/>
      <c r="Z382" s="42"/>
      <c r="AA382" s="127">
        <f t="shared" si="5"/>
        <v>6843999.999999999</v>
      </c>
      <c r="AB382" s="43" t="s">
        <v>764</v>
      </c>
    </row>
    <row r="383" spans="1:28" ht="12.75">
      <c r="A383" s="38">
        <v>36049</v>
      </c>
      <c r="B383" s="39" t="s">
        <v>488</v>
      </c>
      <c r="C383" s="40" t="s">
        <v>875</v>
      </c>
      <c r="D383" s="40" t="s">
        <v>821</v>
      </c>
      <c r="E383" s="48"/>
      <c r="F383" s="48"/>
      <c r="G383" s="48"/>
      <c r="H383" s="48">
        <f>370*5</f>
        <v>1850</v>
      </c>
      <c r="I383" s="48">
        <v>370</v>
      </c>
      <c r="J383" s="48"/>
      <c r="K383" s="49"/>
      <c r="L383" s="49"/>
      <c r="M383" s="49"/>
      <c r="N383" s="49"/>
      <c r="O383" s="49"/>
      <c r="P383" s="49"/>
      <c r="Q383" s="49"/>
      <c r="R383" s="49"/>
      <c r="S383" s="49"/>
      <c r="T383" s="41"/>
      <c r="U383" s="42">
        <v>92975771.9</v>
      </c>
      <c r="V383" s="42"/>
      <c r="W383" s="42"/>
      <c r="X383" s="42"/>
      <c r="Y383" s="42"/>
      <c r="Z383" s="42"/>
      <c r="AA383" s="127">
        <f t="shared" si="5"/>
        <v>92975771.9</v>
      </c>
      <c r="AB383" s="43"/>
    </row>
    <row r="384" spans="1:28" ht="24.75">
      <c r="A384" s="38">
        <v>36050</v>
      </c>
      <c r="B384" s="39" t="s">
        <v>882</v>
      </c>
      <c r="C384" s="40" t="s">
        <v>305</v>
      </c>
      <c r="D384" s="40" t="s">
        <v>821</v>
      </c>
      <c r="E384" s="48"/>
      <c r="F384" s="48"/>
      <c r="G384" s="48"/>
      <c r="H384" s="48">
        <f>400*5</f>
        <v>2000</v>
      </c>
      <c r="I384" s="48">
        <v>400</v>
      </c>
      <c r="J384" s="48"/>
      <c r="K384" s="49"/>
      <c r="L384" s="49"/>
      <c r="M384" s="49"/>
      <c r="N384" s="49">
        <v>2</v>
      </c>
      <c r="O384" s="49"/>
      <c r="P384" s="49"/>
      <c r="Q384" s="49"/>
      <c r="R384" s="49"/>
      <c r="S384" s="49"/>
      <c r="T384" s="41"/>
      <c r="U384" s="42">
        <f>4840369.7+11102134</f>
        <v>15942503.7</v>
      </c>
      <c r="V384" s="42">
        <v>3450000</v>
      </c>
      <c r="W384" s="42"/>
      <c r="X384" s="42"/>
      <c r="Y384" s="42"/>
      <c r="Z384" s="42"/>
      <c r="AA384" s="127">
        <f t="shared" si="5"/>
        <v>19392503.7</v>
      </c>
      <c r="AB384" s="43" t="s">
        <v>774</v>
      </c>
    </row>
    <row r="385" spans="1:28" ht="16.5">
      <c r="A385" s="38">
        <v>36052</v>
      </c>
      <c r="B385" s="39" t="s">
        <v>59</v>
      </c>
      <c r="C385" s="40" t="s">
        <v>505</v>
      </c>
      <c r="D385" s="40" t="s">
        <v>821</v>
      </c>
      <c r="E385" s="48"/>
      <c r="F385" s="48"/>
      <c r="G385" s="48"/>
      <c r="H385" s="48"/>
      <c r="I385" s="48"/>
      <c r="J385" s="48"/>
      <c r="K385" s="49"/>
      <c r="L385" s="49"/>
      <c r="M385" s="49"/>
      <c r="N385" s="49"/>
      <c r="O385" s="49"/>
      <c r="P385" s="49"/>
      <c r="Q385" s="49"/>
      <c r="R385" s="49"/>
      <c r="S385" s="49"/>
      <c r="T385" s="41"/>
      <c r="U385" s="42"/>
      <c r="V385" s="42"/>
      <c r="W385" s="42"/>
      <c r="X385" s="42">
        <v>1322400</v>
      </c>
      <c r="Y385" s="42"/>
      <c r="Z385" s="42"/>
      <c r="AA385" s="127">
        <f t="shared" si="5"/>
        <v>1322400</v>
      </c>
      <c r="AB385" s="43" t="s">
        <v>793</v>
      </c>
    </row>
    <row r="386" spans="1:28" ht="22.5">
      <c r="A386" s="38">
        <v>36052</v>
      </c>
      <c r="B386" s="39" t="s">
        <v>59</v>
      </c>
      <c r="C386" s="40" t="s">
        <v>503</v>
      </c>
      <c r="D386" s="40" t="s">
        <v>821</v>
      </c>
      <c r="E386" s="48"/>
      <c r="F386" s="48"/>
      <c r="G386" s="48"/>
      <c r="H386" s="48"/>
      <c r="I386" s="48"/>
      <c r="J386" s="48"/>
      <c r="K386" s="49"/>
      <c r="L386" s="49"/>
      <c r="M386" s="49"/>
      <c r="N386" s="49"/>
      <c r="O386" s="49"/>
      <c r="P386" s="49"/>
      <c r="Q386" s="49"/>
      <c r="R386" s="49"/>
      <c r="S386" s="49"/>
      <c r="T386" s="41"/>
      <c r="U386" s="42"/>
      <c r="V386" s="42"/>
      <c r="W386" s="42"/>
      <c r="X386" s="42"/>
      <c r="Y386" s="42"/>
      <c r="Z386" s="42">
        <v>10000000</v>
      </c>
      <c r="AA386" s="127">
        <f t="shared" si="5"/>
        <v>10000000</v>
      </c>
      <c r="AB386" s="43" t="s">
        <v>124</v>
      </c>
    </row>
    <row r="387" spans="1:28" ht="28.5">
      <c r="A387" s="38">
        <v>36052</v>
      </c>
      <c r="B387" s="39" t="s">
        <v>34</v>
      </c>
      <c r="C387" s="40" t="s">
        <v>737</v>
      </c>
      <c r="D387" s="40" t="s">
        <v>911</v>
      </c>
      <c r="E387" s="48"/>
      <c r="F387" s="48"/>
      <c r="G387" s="48"/>
      <c r="H387" s="48">
        <v>325</v>
      </c>
      <c r="I387" s="48">
        <v>65</v>
      </c>
      <c r="J387" s="48"/>
      <c r="K387" s="49">
        <v>60</v>
      </c>
      <c r="L387" s="49"/>
      <c r="M387" s="49"/>
      <c r="N387" s="49"/>
      <c r="O387" s="49"/>
      <c r="P387" s="49"/>
      <c r="Q387" s="49"/>
      <c r="R387" s="49">
        <v>3</v>
      </c>
      <c r="S387" s="49"/>
      <c r="T387" s="41"/>
      <c r="U387" s="42"/>
      <c r="V387" s="42"/>
      <c r="W387" s="42"/>
      <c r="X387" s="42"/>
      <c r="Y387" s="42"/>
      <c r="Z387" s="42"/>
      <c r="AA387" s="127">
        <f t="shared" si="5"/>
        <v>0</v>
      </c>
      <c r="AB387" s="43" t="s">
        <v>813</v>
      </c>
    </row>
    <row r="388" spans="1:28" ht="12.75">
      <c r="A388" s="38">
        <v>36053</v>
      </c>
      <c r="B388" s="39" t="s">
        <v>904</v>
      </c>
      <c r="C388" s="40" t="s">
        <v>694</v>
      </c>
      <c r="D388" s="40" t="s">
        <v>821</v>
      </c>
      <c r="E388" s="48"/>
      <c r="F388" s="48"/>
      <c r="G388" s="48"/>
      <c r="H388" s="48">
        <f>33*5</f>
        <v>165</v>
      </c>
      <c r="I388" s="48">
        <v>33</v>
      </c>
      <c r="J388" s="48"/>
      <c r="K388" s="49"/>
      <c r="L388" s="49"/>
      <c r="M388" s="49"/>
      <c r="N388" s="49"/>
      <c r="O388" s="49"/>
      <c r="P388" s="49"/>
      <c r="Q388" s="49"/>
      <c r="R388" s="49"/>
      <c r="S388" s="49"/>
      <c r="T388" s="41"/>
      <c r="U388" s="42"/>
      <c r="V388" s="42">
        <v>759000</v>
      </c>
      <c r="W388" s="42"/>
      <c r="X388" s="42"/>
      <c r="Y388" s="42"/>
      <c r="Z388" s="42"/>
      <c r="AA388" s="127">
        <f aca="true" t="shared" si="6" ref="AA388:AA451">+U388+V388+W388+X388+Y388+Z388</f>
        <v>759000</v>
      </c>
      <c r="AB388" s="43" t="s">
        <v>695</v>
      </c>
    </row>
    <row r="389" spans="1:28" ht="33">
      <c r="A389" s="38">
        <v>36054</v>
      </c>
      <c r="B389" s="39" t="s">
        <v>882</v>
      </c>
      <c r="C389" s="40" t="s">
        <v>467</v>
      </c>
      <c r="D389" s="40" t="s">
        <v>821</v>
      </c>
      <c r="E389" s="48"/>
      <c r="F389" s="48"/>
      <c r="G389" s="48"/>
      <c r="H389" s="48">
        <f>106+68</f>
        <v>174</v>
      </c>
      <c r="I389" s="48">
        <v>32</v>
      </c>
      <c r="J389" s="48"/>
      <c r="K389" s="49"/>
      <c r="L389" s="49"/>
      <c r="M389" s="49"/>
      <c r="N389" s="49"/>
      <c r="O389" s="49"/>
      <c r="P389" s="49"/>
      <c r="Q389" s="49"/>
      <c r="R389" s="49"/>
      <c r="S389" s="49"/>
      <c r="T389" s="41"/>
      <c r="U389" s="57"/>
      <c r="V389" s="42"/>
      <c r="W389" s="42"/>
      <c r="X389" s="42"/>
      <c r="Y389" s="42"/>
      <c r="Z389" s="42"/>
      <c r="AA389" s="127">
        <f t="shared" si="6"/>
        <v>0</v>
      </c>
      <c r="AB389" s="43" t="s">
        <v>669</v>
      </c>
    </row>
    <row r="390" spans="1:28" ht="33">
      <c r="A390" s="38">
        <v>36056</v>
      </c>
      <c r="B390" s="39" t="s">
        <v>22</v>
      </c>
      <c r="C390" s="40" t="s">
        <v>735</v>
      </c>
      <c r="D390" s="40" t="s">
        <v>911</v>
      </c>
      <c r="E390" s="48"/>
      <c r="F390" s="48"/>
      <c r="G390" s="48"/>
      <c r="H390" s="48">
        <f>36*5</f>
        <v>180</v>
      </c>
      <c r="I390" s="48">
        <v>36</v>
      </c>
      <c r="J390" s="48">
        <v>2</v>
      </c>
      <c r="K390" s="49">
        <f>17+12+5</f>
        <v>34</v>
      </c>
      <c r="L390" s="49"/>
      <c r="M390" s="49"/>
      <c r="N390" s="49"/>
      <c r="O390" s="49"/>
      <c r="P390" s="49"/>
      <c r="Q390" s="49"/>
      <c r="R390" s="49">
        <v>2</v>
      </c>
      <c r="S390" s="49"/>
      <c r="T390" s="41"/>
      <c r="U390" s="42"/>
      <c r="V390" s="42"/>
      <c r="W390" s="42"/>
      <c r="X390" s="42"/>
      <c r="Y390" s="42"/>
      <c r="Z390" s="42"/>
      <c r="AA390" s="127">
        <f t="shared" si="6"/>
        <v>0</v>
      </c>
      <c r="AB390" s="43" t="s">
        <v>736</v>
      </c>
    </row>
    <row r="391" spans="1:28" ht="12.75">
      <c r="A391" s="38">
        <v>36058</v>
      </c>
      <c r="B391" s="39" t="s">
        <v>829</v>
      </c>
      <c r="C391" s="40" t="s">
        <v>122</v>
      </c>
      <c r="D391" s="40" t="s">
        <v>891</v>
      </c>
      <c r="E391" s="48"/>
      <c r="F391" s="48"/>
      <c r="G391" s="48"/>
      <c r="H391" s="48">
        <v>18</v>
      </c>
      <c r="I391" s="48">
        <v>6</v>
      </c>
      <c r="J391" s="48"/>
      <c r="K391" s="49"/>
      <c r="L391" s="49"/>
      <c r="M391" s="49"/>
      <c r="N391" s="49"/>
      <c r="O391" s="49"/>
      <c r="P391" s="49"/>
      <c r="Q391" s="49"/>
      <c r="R391" s="49"/>
      <c r="S391" s="49"/>
      <c r="T391" s="41"/>
      <c r="U391" s="42"/>
      <c r="V391" s="42"/>
      <c r="W391" s="42"/>
      <c r="X391" s="42"/>
      <c r="Y391" s="42"/>
      <c r="Z391" s="42"/>
      <c r="AA391" s="127">
        <f t="shared" si="6"/>
        <v>0</v>
      </c>
      <c r="AB391" s="43" t="s">
        <v>708</v>
      </c>
    </row>
    <row r="392" spans="1:28" ht="12.75">
      <c r="A392" s="38">
        <v>36059</v>
      </c>
      <c r="B392" s="39" t="s">
        <v>820</v>
      </c>
      <c r="C392" s="40" t="s">
        <v>671</v>
      </c>
      <c r="D392" s="40" t="s">
        <v>891</v>
      </c>
      <c r="E392" s="48">
        <v>2</v>
      </c>
      <c r="F392" s="48"/>
      <c r="G392" s="48"/>
      <c r="H392" s="48">
        <v>5</v>
      </c>
      <c r="I392" s="48">
        <v>1</v>
      </c>
      <c r="J392" s="48">
        <v>1</v>
      </c>
      <c r="K392" s="49"/>
      <c r="L392" s="49"/>
      <c r="M392" s="49"/>
      <c r="N392" s="49"/>
      <c r="O392" s="49"/>
      <c r="P392" s="49"/>
      <c r="Q392" s="49"/>
      <c r="R392" s="49"/>
      <c r="S392" s="49"/>
      <c r="T392" s="41"/>
      <c r="U392" s="42"/>
      <c r="V392" s="42"/>
      <c r="W392" s="42"/>
      <c r="X392" s="42"/>
      <c r="Y392" s="42"/>
      <c r="Z392" s="42"/>
      <c r="AA392" s="127">
        <f t="shared" si="6"/>
        <v>0</v>
      </c>
      <c r="AB392" s="43"/>
    </row>
    <row r="393" spans="1:28" ht="33">
      <c r="A393" s="38">
        <v>36060</v>
      </c>
      <c r="B393" s="39" t="s">
        <v>59</v>
      </c>
      <c r="C393" s="40" t="s">
        <v>215</v>
      </c>
      <c r="D393" s="40" t="s">
        <v>821</v>
      </c>
      <c r="E393" s="48"/>
      <c r="F393" s="48"/>
      <c r="G393" s="48"/>
      <c r="H393" s="48">
        <v>631</v>
      </c>
      <c r="I393" s="48">
        <v>65</v>
      </c>
      <c r="J393" s="48">
        <v>45</v>
      </c>
      <c r="K393" s="49">
        <v>20</v>
      </c>
      <c r="L393" s="49">
        <v>4</v>
      </c>
      <c r="M393" s="49"/>
      <c r="N393" s="49"/>
      <c r="O393" s="49"/>
      <c r="P393" s="49"/>
      <c r="Q393" s="49"/>
      <c r="R393" s="49">
        <v>4</v>
      </c>
      <c r="S393" s="49"/>
      <c r="T393" s="41"/>
      <c r="U393" s="42">
        <v>7791438.850000001</v>
      </c>
      <c r="V393" s="42">
        <v>1495000</v>
      </c>
      <c r="W393" s="42"/>
      <c r="X393" s="42">
        <v>2204000</v>
      </c>
      <c r="Y393" s="42"/>
      <c r="Z393" s="42"/>
      <c r="AA393" s="127">
        <f t="shared" si="6"/>
        <v>11490438.850000001</v>
      </c>
      <c r="AB393" s="43" t="s">
        <v>697</v>
      </c>
    </row>
    <row r="394" spans="1:28" ht="24.75">
      <c r="A394" s="38">
        <v>36060</v>
      </c>
      <c r="B394" s="39" t="s">
        <v>59</v>
      </c>
      <c r="C394" s="40" t="s">
        <v>662</v>
      </c>
      <c r="D394" s="40" t="s">
        <v>821</v>
      </c>
      <c r="E394" s="48"/>
      <c r="F394" s="48"/>
      <c r="G394" s="48"/>
      <c r="H394" s="48">
        <v>1537</v>
      </c>
      <c r="I394" s="48">
        <v>288</v>
      </c>
      <c r="J394" s="48">
        <v>9</v>
      </c>
      <c r="K394" s="49">
        <v>49</v>
      </c>
      <c r="L394" s="49"/>
      <c r="M394" s="49"/>
      <c r="N394" s="49"/>
      <c r="O394" s="49">
        <v>1</v>
      </c>
      <c r="P394" s="49"/>
      <c r="Q394" s="49"/>
      <c r="R394" s="49"/>
      <c r="S394" s="49"/>
      <c r="T394" s="41" t="s">
        <v>700</v>
      </c>
      <c r="U394" s="42">
        <v>49544962.92000001</v>
      </c>
      <c r="V394" s="42">
        <v>3450000</v>
      </c>
      <c r="W394" s="42"/>
      <c r="X394" s="42"/>
      <c r="Y394" s="42"/>
      <c r="Z394" s="42"/>
      <c r="AA394" s="127">
        <f t="shared" si="6"/>
        <v>52994962.92000001</v>
      </c>
      <c r="AB394" s="43" t="s">
        <v>699</v>
      </c>
    </row>
    <row r="395" spans="1:28" ht="24.75">
      <c r="A395" s="38">
        <v>36060</v>
      </c>
      <c r="B395" s="39" t="s">
        <v>882</v>
      </c>
      <c r="C395" s="40" t="s">
        <v>305</v>
      </c>
      <c r="D395" s="40" t="s">
        <v>821</v>
      </c>
      <c r="E395" s="48"/>
      <c r="F395" s="48"/>
      <c r="G395" s="48"/>
      <c r="H395" s="48">
        <f>55*5</f>
        <v>275</v>
      </c>
      <c r="I395" s="48">
        <v>55</v>
      </c>
      <c r="J395" s="48"/>
      <c r="K395" s="49"/>
      <c r="L395" s="49"/>
      <c r="M395" s="49"/>
      <c r="N395" s="49">
        <v>2</v>
      </c>
      <c r="O395" s="49"/>
      <c r="P395" s="49"/>
      <c r="Q395" s="49"/>
      <c r="R395" s="49"/>
      <c r="S395" s="49"/>
      <c r="T395" s="41"/>
      <c r="U395" s="42">
        <v>6106173.7</v>
      </c>
      <c r="V395" s="42"/>
      <c r="W395" s="42"/>
      <c r="X395" s="42"/>
      <c r="Y395" s="42"/>
      <c r="Z395" s="42"/>
      <c r="AA395" s="127">
        <f t="shared" si="6"/>
        <v>6106173.7</v>
      </c>
      <c r="AB395" s="43" t="s">
        <v>691</v>
      </c>
    </row>
    <row r="396" spans="1:28" ht="12.75">
      <c r="A396" s="38">
        <v>36062</v>
      </c>
      <c r="B396" s="39" t="s">
        <v>820</v>
      </c>
      <c r="C396" s="40" t="s">
        <v>195</v>
      </c>
      <c r="D396" s="40" t="s">
        <v>707</v>
      </c>
      <c r="E396" s="48"/>
      <c r="F396" s="48">
        <v>9</v>
      </c>
      <c r="G396" s="48"/>
      <c r="H396" s="48">
        <v>20</v>
      </c>
      <c r="I396" s="48">
        <v>4</v>
      </c>
      <c r="J396" s="48">
        <v>4</v>
      </c>
      <c r="K396" s="49"/>
      <c r="L396" s="49"/>
      <c r="M396" s="49"/>
      <c r="N396" s="49"/>
      <c r="O396" s="49"/>
      <c r="P396" s="49"/>
      <c r="Q396" s="49"/>
      <c r="R396" s="49"/>
      <c r="S396" s="49"/>
      <c r="T396" s="41"/>
      <c r="U396" s="42"/>
      <c r="V396" s="42"/>
      <c r="W396" s="42"/>
      <c r="X396" s="42"/>
      <c r="Y396" s="42"/>
      <c r="Z396" s="42"/>
      <c r="AA396" s="127">
        <f t="shared" si="6"/>
        <v>0</v>
      </c>
      <c r="AB396" s="43"/>
    </row>
    <row r="397" spans="1:28" ht="16.5">
      <c r="A397" s="38">
        <v>36063</v>
      </c>
      <c r="B397" s="39" t="s">
        <v>59</v>
      </c>
      <c r="C397" s="40" t="s">
        <v>211</v>
      </c>
      <c r="D397" s="40" t="s">
        <v>821</v>
      </c>
      <c r="E397" s="48"/>
      <c r="F397" s="48"/>
      <c r="G397" s="48"/>
      <c r="H397" s="48"/>
      <c r="I397" s="48"/>
      <c r="J397" s="48"/>
      <c r="K397" s="49"/>
      <c r="L397" s="49"/>
      <c r="M397" s="49"/>
      <c r="N397" s="49"/>
      <c r="O397" s="49"/>
      <c r="P397" s="49"/>
      <c r="Q397" s="49"/>
      <c r="R397" s="49"/>
      <c r="S397" s="49"/>
      <c r="T397" s="41" t="s">
        <v>779</v>
      </c>
      <c r="U397" s="42"/>
      <c r="V397" s="42"/>
      <c r="W397" s="42"/>
      <c r="X397" s="42"/>
      <c r="Y397" s="42"/>
      <c r="Z397" s="42"/>
      <c r="AA397" s="127">
        <f t="shared" si="6"/>
        <v>0</v>
      </c>
      <c r="AB397" s="43" t="s">
        <v>780</v>
      </c>
    </row>
    <row r="398" spans="1:28" ht="33.75">
      <c r="A398" s="38">
        <v>36066</v>
      </c>
      <c r="B398" s="39" t="s">
        <v>820</v>
      </c>
      <c r="C398" s="40" t="s">
        <v>791</v>
      </c>
      <c r="D398" s="40" t="s">
        <v>891</v>
      </c>
      <c r="E398" s="48"/>
      <c r="F398" s="48"/>
      <c r="G398" s="48"/>
      <c r="H398" s="48"/>
      <c r="I398" s="48"/>
      <c r="J398" s="48"/>
      <c r="K398" s="49"/>
      <c r="L398" s="49"/>
      <c r="M398" s="49"/>
      <c r="N398" s="49"/>
      <c r="O398" s="49"/>
      <c r="P398" s="49"/>
      <c r="Q398" s="49"/>
      <c r="R398" s="49"/>
      <c r="S398" s="49"/>
      <c r="T398" s="41"/>
      <c r="U398" s="42"/>
      <c r="V398" s="42"/>
      <c r="W398" s="42"/>
      <c r="X398" s="42"/>
      <c r="Y398" s="42"/>
      <c r="Z398" s="42"/>
      <c r="AA398" s="127">
        <f t="shared" si="6"/>
        <v>0</v>
      </c>
      <c r="AB398" s="43" t="s">
        <v>797</v>
      </c>
    </row>
    <row r="399" spans="1:28" ht="12.75">
      <c r="A399" s="38">
        <v>36067</v>
      </c>
      <c r="B399" s="39" t="s">
        <v>820</v>
      </c>
      <c r="C399" s="40" t="s">
        <v>798</v>
      </c>
      <c r="D399" s="40" t="s">
        <v>891</v>
      </c>
      <c r="E399" s="48"/>
      <c r="F399" s="48"/>
      <c r="G399" s="48"/>
      <c r="H399" s="48">
        <v>3</v>
      </c>
      <c r="I399" s="48">
        <v>1</v>
      </c>
      <c r="J399" s="48"/>
      <c r="K399" s="49"/>
      <c r="L399" s="49"/>
      <c r="M399" s="49"/>
      <c r="N399" s="49"/>
      <c r="O399" s="49"/>
      <c r="P399" s="49"/>
      <c r="Q399" s="49"/>
      <c r="R399" s="49"/>
      <c r="S399" s="49"/>
      <c r="T399" s="41"/>
      <c r="U399" s="42"/>
      <c r="V399" s="42"/>
      <c r="W399" s="42"/>
      <c r="X399" s="42"/>
      <c r="Y399" s="42"/>
      <c r="Z399" s="42"/>
      <c r="AA399" s="127">
        <f t="shared" si="6"/>
        <v>0</v>
      </c>
      <c r="AB399" s="43" t="s">
        <v>799</v>
      </c>
    </row>
    <row r="400" spans="1:28" ht="33">
      <c r="A400" s="38">
        <v>36067</v>
      </c>
      <c r="B400" s="39" t="s">
        <v>829</v>
      </c>
      <c r="C400" s="40" t="s">
        <v>705</v>
      </c>
      <c r="D400" s="40" t="s">
        <v>891</v>
      </c>
      <c r="E400" s="48"/>
      <c r="F400" s="48"/>
      <c r="G400" s="48"/>
      <c r="H400" s="48">
        <f>20*5</f>
        <v>100</v>
      </c>
      <c r="I400" s="48">
        <v>20</v>
      </c>
      <c r="J400" s="48"/>
      <c r="K400" s="49"/>
      <c r="L400" s="49"/>
      <c r="M400" s="49"/>
      <c r="N400" s="49"/>
      <c r="O400" s="49">
        <v>2</v>
      </c>
      <c r="P400" s="49"/>
      <c r="Q400" s="49"/>
      <c r="R400" s="49"/>
      <c r="S400" s="49"/>
      <c r="T400" s="41"/>
      <c r="U400" s="42"/>
      <c r="V400" s="42"/>
      <c r="W400" s="42"/>
      <c r="X400" s="42"/>
      <c r="Y400" s="42"/>
      <c r="Z400" s="42"/>
      <c r="AA400" s="127">
        <f t="shared" si="6"/>
        <v>0</v>
      </c>
      <c r="AB400" s="43" t="s">
        <v>706</v>
      </c>
    </row>
    <row r="401" spans="1:28" ht="22.5">
      <c r="A401" s="38">
        <v>36068</v>
      </c>
      <c r="B401" s="39" t="s">
        <v>22</v>
      </c>
      <c r="C401" s="40" t="s">
        <v>775</v>
      </c>
      <c r="D401" s="40" t="s">
        <v>821</v>
      </c>
      <c r="E401" s="48"/>
      <c r="F401" s="48"/>
      <c r="G401" s="48"/>
      <c r="H401" s="48"/>
      <c r="I401" s="48"/>
      <c r="J401" s="48"/>
      <c r="K401" s="49"/>
      <c r="L401" s="49"/>
      <c r="M401" s="49"/>
      <c r="N401" s="49"/>
      <c r="O401" s="49"/>
      <c r="P401" s="49"/>
      <c r="Q401" s="49"/>
      <c r="R401" s="49"/>
      <c r="S401" s="49"/>
      <c r="T401" s="41" t="s">
        <v>739</v>
      </c>
      <c r="U401" s="42"/>
      <c r="V401" s="42"/>
      <c r="W401" s="42"/>
      <c r="X401" s="42"/>
      <c r="Y401" s="42"/>
      <c r="Z401" s="42"/>
      <c r="AA401" s="127">
        <f t="shared" si="6"/>
        <v>0</v>
      </c>
      <c r="AB401" s="43" t="s">
        <v>738</v>
      </c>
    </row>
    <row r="402" spans="1:28" ht="16.5">
      <c r="A402" s="38">
        <v>36068</v>
      </c>
      <c r="B402" s="39" t="s">
        <v>366</v>
      </c>
      <c r="C402" s="40" t="s">
        <v>367</v>
      </c>
      <c r="D402" s="40" t="s">
        <v>891</v>
      </c>
      <c r="E402" s="48"/>
      <c r="F402" s="48"/>
      <c r="G402" s="48"/>
      <c r="H402" s="48">
        <f>48*5</f>
        <v>240</v>
      </c>
      <c r="I402" s="48">
        <v>48</v>
      </c>
      <c r="J402" s="48"/>
      <c r="K402" s="49"/>
      <c r="L402" s="49"/>
      <c r="M402" s="49"/>
      <c r="N402" s="49"/>
      <c r="O402" s="49"/>
      <c r="P402" s="49"/>
      <c r="Q402" s="49"/>
      <c r="R402" s="49"/>
      <c r="S402" s="49"/>
      <c r="T402" s="41"/>
      <c r="U402" s="42"/>
      <c r="V402" s="42"/>
      <c r="W402" s="42"/>
      <c r="X402" s="42"/>
      <c r="Y402" s="42"/>
      <c r="Z402" s="42"/>
      <c r="AA402" s="127">
        <f t="shared" si="6"/>
        <v>0</v>
      </c>
      <c r="AB402" s="43" t="s">
        <v>773</v>
      </c>
    </row>
    <row r="403" spans="1:28" ht="33">
      <c r="A403" s="38">
        <v>36068</v>
      </c>
      <c r="B403" s="39" t="s">
        <v>899</v>
      </c>
      <c r="C403" s="40" t="s">
        <v>733</v>
      </c>
      <c r="D403" s="40" t="s">
        <v>891</v>
      </c>
      <c r="E403" s="48"/>
      <c r="F403" s="48"/>
      <c r="G403" s="48"/>
      <c r="H403" s="48">
        <f>50*5</f>
        <v>250</v>
      </c>
      <c r="I403" s="48">
        <v>50</v>
      </c>
      <c r="J403" s="48">
        <v>50</v>
      </c>
      <c r="K403" s="49"/>
      <c r="L403" s="49"/>
      <c r="M403" s="49"/>
      <c r="N403" s="49"/>
      <c r="O403" s="49"/>
      <c r="P403" s="49"/>
      <c r="Q403" s="49"/>
      <c r="R403" s="49"/>
      <c r="S403" s="49"/>
      <c r="T403" s="41"/>
      <c r="U403" s="42"/>
      <c r="V403" s="42"/>
      <c r="W403" s="42"/>
      <c r="X403" s="42"/>
      <c r="Y403" s="42"/>
      <c r="Z403" s="42"/>
      <c r="AA403" s="127">
        <f t="shared" si="6"/>
        <v>0</v>
      </c>
      <c r="AB403" s="43" t="s">
        <v>734</v>
      </c>
    </row>
    <row r="404" spans="1:28" ht="24.75">
      <c r="A404" s="38">
        <v>36069</v>
      </c>
      <c r="B404" s="39" t="s">
        <v>904</v>
      </c>
      <c r="C404" s="40" t="s">
        <v>875</v>
      </c>
      <c r="D404" s="40" t="s">
        <v>821</v>
      </c>
      <c r="E404" s="48"/>
      <c r="F404" s="48"/>
      <c r="G404" s="48"/>
      <c r="H404" s="48">
        <v>4375</v>
      </c>
      <c r="I404" s="48">
        <v>875</v>
      </c>
      <c r="J404" s="48"/>
      <c r="K404" s="49"/>
      <c r="L404" s="49"/>
      <c r="M404" s="49"/>
      <c r="N404" s="49"/>
      <c r="O404" s="49"/>
      <c r="P404" s="49"/>
      <c r="Q404" s="49"/>
      <c r="R404" s="49"/>
      <c r="S404" s="49"/>
      <c r="T404" s="41" t="s">
        <v>740</v>
      </c>
      <c r="U404" s="42"/>
      <c r="V404" s="42">
        <v>10350000</v>
      </c>
      <c r="W404" s="42"/>
      <c r="X404" s="42"/>
      <c r="Y404" s="42"/>
      <c r="Z404" s="42"/>
      <c r="AA404" s="127">
        <f t="shared" si="6"/>
        <v>10350000</v>
      </c>
      <c r="AB404" s="43" t="s">
        <v>741</v>
      </c>
    </row>
    <row r="405" spans="1:28" ht="12.75">
      <c r="A405" s="38">
        <v>36070</v>
      </c>
      <c r="B405" s="39" t="s">
        <v>820</v>
      </c>
      <c r="C405" s="40" t="s">
        <v>800</v>
      </c>
      <c r="D405" s="40" t="s">
        <v>872</v>
      </c>
      <c r="E405" s="48"/>
      <c r="F405" s="48"/>
      <c r="G405" s="48"/>
      <c r="H405" s="48"/>
      <c r="I405" s="48"/>
      <c r="J405" s="48"/>
      <c r="K405" s="49"/>
      <c r="L405" s="49"/>
      <c r="M405" s="49"/>
      <c r="N405" s="49"/>
      <c r="O405" s="49"/>
      <c r="P405" s="49"/>
      <c r="Q405" s="49"/>
      <c r="R405" s="49"/>
      <c r="S405" s="49"/>
      <c r="T405" s="41"/>
      <c r="U405" s="42"/>
      <c r="V405" s="42"/>
      <c r="W405" s="42"/>
      <c r="X405" s="42"/>
      <c r="Y405" s="42"/>
      <c r="Z405" s="42"/>
      <c r="AA405" s="127">
        <f t="shared" si="6"/>
        <v>0</v>
      </c>
      <c r="AB405" s="43" t="s">
        <v>799</v>
      </c>
    </row>
    <row r="406" spans="1:28" ht="12.75">
      <c r="A406" s="38">
        <v>36070</v>
      </c>
      <c r="B406" s="39" t="s">
        <v>904</v>
      </c>
      <c r="C406" s="40" t="s">
        <v>875</v>
      </c>
      <c r="D406" s="40" t="s">
        <v>911</v>
      </c>
      <c r="E406" s="48"/>
      <c r="F406" s="48"/>
      <c r="G406" s="48"/>
      <c r="H406" s="48">
        <f>67*5</f>
        <v>335</v>
      </c>
      <c r="I406" s="48">
        <v>67</v>
      </c>
      <c r="J406" s="48"/>
      <c r="K406" s="49">
        <v>69</v>
      </c>
      <c r="L406" s="49"/>
      <c r="M406" s="49"/>
      <c r="N406" s="49"/>
      <c r="O406" s="49"/>
      <c r="P406" s="49"/>
      <c r="Q406" s="49"/>
      <c r="R406" s="49"/>
      <c r="S406" s="49"/>
      <c r="T406" s="41"/>
      <c r="U406" s="42"/>
      <c r="V406" s="42"/>
      <c r="W406" s="42"/>
      <c r="X406" s="42"/>
      <c r="Y406" s="42"/>
      <c r="Z406" s="42">
        <v>5000000</v>
      </c>
      <c r="AA406" s="127">
        <f t="shared" si="6"/>
        <v>5000000</v>
      </c>
      <c r="AB406" s="43" t="s">
        <v>610</v>
      </c>
    </row>
    <row r="407" spans="1:28" ht="12.75">
      <c r="A407" s="38">
        <v>36073</v>
      </c>
      <c r="B407" s="39" t="s">
        <v>820</v>
      </c>
      <c r="C407" s="40" t="s">
        <v>492</v>
      </c>
      <c r="D407" s="40" t="s">
        <v>821</v>
      </c>
      <c r="E407" s="48"/>
      <c r="F407" s="48"/>
      <c r="G407" s="48"/>
      <c r="H407" s="48"/>
      <c r="I407" s="48"/>
      <c r="J407" s="48"/>
      <c r="K407" s="49"/>
      <c r="L407" s="49"/>
      <c r="M407" s="49"/>
      <c r="N407" s="49"/>
      <c r="O407" s="49"/>
      <c r="P407" s="49"/>
      <c r="Q407" s="49"/>
      <c r="R407" s="49"/>
      <c r="S407" s="49"/>
      <c r="T407" s="41"/>
      <c r="U407" s="42"/>
      <c r="V407" s="42"/>
      <c r="W407" s="42"/>
      <c r="X407" s="42"/>
      <c r="Y407" s="42"/>
      <c r="Z407" s="42"/>
      <c r="AA407" s="127">
        <f t="shared" si="6"/>
        <v>0</v>
      </c>
      <c r="AB407" s="43"/>
    </row>
    <row r="408" spans="1:28" ht="24.75">
      <c r="A408" s="38">
        <v>36073</v>
      </c>
      <c r="B408" s="39" t="s">
        <v>92</v>
      </c>
      <c r="C408" s="40" t="s">
        <v>566</v>
      </c>
      <c r="D408" s="40" t="s">
        <v>821</v>
      </c>
      <c r="E408" s="48"/>
      <c r="F408" s="48">
        <f>12+25+5</f>
        <v>42</v>
      </c>
      <c r="G408" s="48"/>
      <c r="H408" s="48">
        <f>70+45+85+71+12</f>
        <v>283</v>
      </c>
      <c r="I408" s="48">
        <f>14+9+17+32+3</f>
        <v>75</v>
      </c>
      <c r="J408" s="48">
        <f>14+9+7+20+2</f>
        <v>52</v>
      </c>
      <c r="K408" s="49">
        <f>3+10+12+1</f>
        <v>26</v>
      </c>
      <c r="L408" s="49"/>
      <c r="M408" s="49"/>
      <c r="N408" s="49"/>
      <c r="O408" s="49"/>
      <c r="P408" s="49"/>
      <c r="Q408" s="49"/>
      <c r="R408" s="49"/>
      <c r="S408" s="49"/>
      <c r="T408" s="41" t="s">
        <v>754</v>
      </c>
      <c r="U408" s="42"/>
      <c r="V408" s="42"/>
      <c r="W408" s="42">
        <v>8524800</v>
      </c>
      <c r="X408" s="42"/>
      <c r="Y408" s="42"/>
      <c r="Z408" s="42"/>
      <c r="AA408" s="127">
        <f t="shared" si="6"/>
        <v>8524800</v>
      </c>
      <c r="AB408" s="43" t="s">
        <v>755</v>
      </c>
    </row>
    <row r="409" spans="1:28" ht="12.75">
      <c r="A409" s="38">
        <v>36074</v>
      </c>
      <c r="B409" s="39" t="s">
        <v>820</v>
      </c>
      <c r="C409" s="40" t="s">
        <v>582</v>
      </c>
      <c r="D409" s="40" t="s">
        <v>911</v>
      </c>
      <c r="E409" s="48"/>
      <c r="F409" s="48">
        <v>1</v>
      </c>
      <c r="G409" s="48"/>
      <c r="H409" s="48">
        <v>23</v>
      </c>
      <c r="I409" s="48">
        <v>3</v>
      </c>
      <c r="J409" s="48"/>
      <c r="K409" s="49"/>
      <c r="L409" s="49"/>
      <c r="M409" s="49"/>
      <c r="N409" s="49"/>
      <c r="O409" s="49"/>
      <c r="P409" s="49"/>
      <c r="Q409" s="49"/>
      <c r="R409" s="49"/>
      <c r="S409" s="49"/>
      <c r="T409" s="41"/>
      <c r="U409" s="42"/>
      <c r="V409" s="42"/>
      <c r="W409" s="42"/>
      <c r="X409" s="42"/>
      <c r="Y409" s="42"/>
      <c r="Z409" s="42"/>
      <c r="AA409" s="127">
        <f t="shared" si="6"/>
        <v>0</v>
      </c>
      <c r="AB409" s="43" t="s">
        <v>801</v>
      </c>
    </row>
    <row r="410" spans="1:28" ht="12.75">
      <c r="A410" s="38">
        <v>36075</v>
      </c>
      <c r="B410" s="39" t="s">
        <v>829</v>
      </c>
      <c r="C410" s="40" t="s">
        <v>705</v>
      </c>
      <c r="D410" s="40" t="s">
        <v>891</v>
      </c>
      <c r="E410" s="48"/>
      <c r="F410" s="48"/>
      <c r="G410" s="48"/>
      <c r="H410" s="48">
        <v>72</v>
      </c>
      <c r="I410" s="48">
        <v>16</v>
      </c>
      <c r="J410" s="48"/>
      <c r="K410" s="49"/>
      <c r="L410" s="49"/>
      <c r="M410" s="49"/>
      <c r="N410" s="49"/>
      <c r="O410" s="49"/>
      <c r="P410" s="49"/>
      <c r="Q410" s="49"/>
      <c r="R410" s="49"/>
      <c r="S410" s="49"/>
      <c r="T410" s="41" t="s">
        <v>208</v>
      </c>
      <c r="U410" s="42">
        <v>2563338.08</v>
      </c>
      <c r="V410" s="42">
        <v>368000</v>
      </c>
      <c r="W410" s="42"/>
      <c r="X410" s="42"/>
      <c r="Y410" s="42"/>
      <c r="Z410" s="42"/>
      <c r="AA410" s="127">
        <f t="shared" si="6"/>
        <v>2931338.08</v>
      </c>
      <c r="AB410" s="43" t="s">
        <v>743</v>
      </c>
    </row>
    <row r="411" spans="1:29" ht="12.75">
      <c r="A411" s="38">
        <v>36075</v>
      </c>
      <c r="B411" s="39" t="s">
        <v>829</v>
      </c>
      <c r="C411" s="40" t="s">
        <v>589</v>
      </c>
      <c r="D411" s="40" t="s">
        <v>821</v>
      </c>
      <c r="E411" s="48"/>
      <c r="F411" s="48"/>
      <c r="G411" s="48"/>
      <c r="H411" s="48">
        <v>37</v>
      </c>
      <c r="I411" s="48">
        <v>9</v>
      </c>
      <c r="J411" s="48"/>
      <c r="K411" s="49"/>
      <c r="L411" s="49"/>
      <c r="M411" s="49"/>
      <c r="N411" s="49"/>
      <c r="O411" s="49"/>
      <c r="P411" s="49"/>
      <c r="Q411" s="49"/>
      <c r="R411" s="49"/>
      <c r="S411" s="49"/>
      <c r="T411" s="41"/>
      <c r="U411" s="42">
        <v>1441877.67</v>
      </c>
      <c r="V411" s="42">
        <v>207000</v>
      </c>
      <c r="W411" s="42"/>
      <c r="X411" s="42"/>
      <c r="Y411" s="42"/>
      <c r="Z411" s="42"/>
      <c r="AA411" s="127">
        <f t="shared" si="6"/>
        <v>1648877.67</v>
      </c>
      <c r="AB411" s="43" t="s">
        <v>742</v>
      </c>
      <c r="AC411" s="4" t="s">
        <v>594</v>
      </c>
    </row>
    <row r="412" spans="1:28" ht="24.75">
      <c r="A412" s="38">
        <v>36075</v>
      </c>
      <c r="B412" s="39" t="s">
        <v>22</v>
      </c>
      <c r="C412" s="40" t="s">
        <v>775</v>
      </c>
      <c r="D412" s="40" t="s">
        <v>821</v>
      </c>
      <c r="E412" s="48"/>
      <c r="F412" s="48"/>
      <c r="G412" s="48"/>
      <c r="H412" s="48">
        <v>2556</v>
      </c>
      <c r="I412" s="48">
        <v>639</v>
      </c>
      <c r="J412" s="48">
        <v>10</v>
      </c>
      <c r="K412" s="49"/>
      <c r="L412" s="49"/>
      <c r="M412" s="49"/>
      <c r="N412" s="49"/>
      <c r="O412" s="49"/>
      <c r="P412" s="49"/>
      <c r="Q412" s="49"/>
      <c r="R412" s="49"/>
      <c r="S412" s="49"/>
      <c r="T412" s="41" t="s">
        <v>208</v>
      </c>
      <c r="U412" s="42">
        <v>44966741.039999984</v>
      </c>
      <c r="V412" s="42">
        <v>7176000</v>
      </c>
      <c r="W412" s="42"/>
      <c r="X412" s="42"/>
      <c r="Y412" s="42"/>
      <c r="Z412" s="42"/>
      <c r="AA412" s="127">
        <f t="shared" si="6"/>
        <v>52142741.039999984</v>
      </c>
      <c r="AB412" s="43" t="s">
        <v>757</v>
      </c>
    </row>
    <row r="413" spans="1:28" ht="22.5">
      <c r="A413" s="38">
        <v>36075</v>
      </c>
      <c r="B413" s="39" t="s">
        <v>22</v>
      </c>
      <c r="C413" s="40" t="s">
        <v>778</v>
      </c>
      <c r="D413" s="40" t="s">
        <v>821</v>
      </c>
      <c r="E413" s="48"/>
      <c r="F413" s="48"/>
      <c r="G413" s="48"/>
      <c r="H413" s="48">
        <v>3176</v>
      </c>
      <c r="I413" s="48">
        <v>794</v>
      </c>
      <c r="J413" s="48">
        <v>20</v>
      </c>
      <c r="K413" s="49">
        <v>10</v>
      </c>
      <c r="L413" s="49"/>
      <c r="M413" s="49"/>
      <c r="N413" s="49"/>
      <c r="O413" s="49"/>
      <c r="P413" s="49"/>
      <c r="Q413" s="49"/>
      <c r="R413" s="49"/>
      <c r="S413" s="49"/>
      <c r="T413" s="41"/>
      <c r="U413" s="42">
        <v>55885672.470000006</v>
      </c>
      <c r="V413" s="42">
        <v>8924000</v>
      </c>
      <c r="W413" s="42"/>
      <c r="X413" s="42"/>
      <c r="Y413" s="42"/>
      <c r="Z413" s="42"/>
      <c r="AA413" s="127">
        <f t="shared" si="6"/>
        <v>64809672.470000006</v>
      </c>
      <c r="AB413" s="43" t="s">
        <v>470</v>
      </c>
    </row>
    <row r="414" spans="1:28" ht="22.5">
      <c r="A414" s="38">
        <v>36078</v>
      </c>
      <c r="B414" s="39" t="s">
        <v>893</v>
      </c>
      <c r="C414" s="40" t="s">
        <v>776</v>
      </c>
      <c r="D414" s="40" t="s">
        <v>821</v>
      </c>
      <c r="E414" s="48"/>
      <c r="F414" s="48"/>
      <c r="G414" s="48"/>
      <c r="H414" s="48">
        <f>30*5</f>
        <v>150</v>
      </c>
      <c r="I414" s="48">
        <v>30</v>
      </c>
      <c r="J414" s="48"/>
      <c r="K414" s="49">
        <v>30</v>
      </c>
      <c r="L414" s="49"/>
      <c r="M414" s="49"/>
      <c r="N414" s="49"/>
      <c r="O414" s="49"/>
      <c r="P414" s="49"/>
      <c r="Q414" s="49"/>
      <c r="R414" s="49">
        <v>2</v>
      </c>
      <c r="S414" s="49"/>
      <c r="T414" s="41"/>
      <c r="U414" s="42">
        <v>3763793.86</v>
      </c>
      <c r="V414" s="42">
        <v>690000</v>
      </c>
      <c r="W414" s="42"/>
      <c r="X414" s="42"/>
      <c r="Y414" s="42"/>
      <c r="Z414" s="42"/>
      <c r="AA414" s="127">
        <f t="shared" si="6"/>
        <v>4453793.859999999</v>
      </c>
      <c r="AB414" s="43" t="s">
        <v>777</v>
      </c>
    </row>
    <row r="415" spans="1:28" ht="40.5">
      <c r="A415" s="38">
        <v>36080</v>
      </c>
      <c r="B415" s="39" t="s">
        <v>129</v>
      </c>
      <c r="C415" s="40" t="s">
        <v>456</v>
      </c>
      <c r="D415" s="40" t="s">
        <v>911</v>
      </c>
      <c r="E415" s="48"/>
      <c r="F415" s="48"/>
      <c r="G415" s="48"/>
      <c r="H415" s="48">
        <f>136+52+5</f>
        <v>193</v>
      </c>
      <c r="I415" s="48">
        <f>25+10+1</f>
        <v>36</v>
      </c>
      <c r="J415" s="48">
        <f>3+1+1</f>
        <v>5</v>
      </c>
      <c r="K415" s="49">
        <f>20+9+1</f>
        <v>30</v>
      </c>
      <c r="L415" s="49"/>
      <c r="M415" s="49"/>
      <c r="N415" s="49"/>
      <c r="O415" s="49"/>
      <c r="P415" s="49"/>
      <c r="Q415" s="49"/>
      <c r="R415" s="49">
        <v>1</v>
      </c>
      <c r="S415" s="49"/>
      <c r="T415" s="41"/>
      <c r="U415" s="42"/>
      <c r="V415" s="42"/>
      <c r="W415" s="42"/>
      <c r="X415" s="42"/>
      <c r="Y415" s="42"/>
      <c r="Z415" s="42"/>
      <c r="AA415" s="127">
        <f t="shared" si="6"/>
        <v>0</v>
      </c>
      <c r="AB415" s="43" t="s">
        <v>641</v>
      </c>
    </row>
    <row r="416" spans="1:28" ht="12.75">
      <c r="A416" s="38">
        <v>36080</v>
      </c>
      <c r="B416" s="39" t="s">
        <v>129</v>
      </c>
      <c r="C416" s="40" t="s">
        <v>626</v>
      </c>
      <c r="D416" s="40" t="s">
        <v>911</v>
      </c>
      <c r="E416" s="48"/>
      <c r="F416" s="48"/>
      <c r="G416" s="48"/>
      <c r="H416" s="48">
        <v>30</v>
      </c>
      <c r="I416" s="48">
        <v>6</v>
      </c>
      <c r="J416" s="48"/>
      <c r="K416" s="49">
        <v>6</v>
      </c>
      <c r="L416" s="49"/>
      <c r="M416" s="49"/>
      <c r="N416" s="49"/>
      <c r="O416" s="49"/>
      <c r="P416" s="49"/>
      <c r="Q416" s="49"/>
      <c r="R416" s="49"/>
      <c r="S416" s="49"/>
      <c r="T416" s="41"/>
      <c r="U416" s="42"/>
      <c r="V416" s="42"/>
      <c r="W416" s="42"/>
      <c r="X416" s="42"/>
      <c r="Y416" s="42"/>
      <c r="Z416" s="42"/>
      <c r="AA416" s="127">
        <f t="shared" si="6"/>
        <v>0</v>
      </c>
      <c r="AB416" s="43" t="s">
        <v>627</v>
      </c>
    </row>
    <row r="417" spans="1:28" ht="24.75">
      <c r="A417" s="38">
        <v>36083</v>
      </c>
      <c r="B417" s="39" t="s">
        <v>59</v>
      </c>
      <c r="C417" s="40" t="s">
        <v>406</v>
      </c>
      <c r="D417" s="40" t="s">
        <v>821</v>
      </c>
      <c r="E417" s="48"/>
      <c r="F417" s="48"/>
      <c r="G417" s="48"/>
      <c r="H417" s="48">
        <f>116*5</f>
        <v>580</v>
      </c>
      <c r="I417" s="48">
        <v>116</v>
      </c>
      <c r="J417" s="48"/>
      <c r="K417" s="49">
        <v>116</v>
      </c>
      <c r="L417" s="49"/>
      <c r="M417" s="49"/>
      <c r="N417" s="49"/>
      <c r="O417" s="49"/>
      <c r="P417" s="49"/>
      <c r="Q417" s="49"/>
      <c r="R417" s="49"/>
      <c r="S417" s="49"/>
      <c r="T417" s="41" t="s">
        <v>407</v>
      </c>
      <c r="U417" s="42"/>
      <c r="V417" s="42"/>
      <c r="W417" s="42"/>
      <c r="X417" s="42"/>
      <c r="Y417" s="42"/>
      <c r="Z417" s="42"/>
      <c r="AA417" s="127">
        <f t="shared" si="6"/>
        <v>0</v>
      </c>
      <c r="AB417" s="43" t="s">
        <v>408</v>
      </c>
    </row>
    <row r="418" spans="1:28" ht="24.75">
      <c r="A418" s="38">
        <v>36083</v>
      </c>
      <c r="B418" s="39" t="s">
        <v>889</v>
      </c>
      <c r="C418" s="40" t="s">
        <v>88</v>
      </c>
      <c r="D418" s="40" t="s">
        <v>821</v>
      </c>
      <c r="E418" s="48"/>
      <c r="F418" s="48"/>
      <c r="G418" s="48"/>
      <c r="H418" s="48">
        <v>24</v>
      </c>
      <c r="I418" s="48">
        <v>8</v>
      </c>
      <c r="J418" s="48"/>
      <c r="K418" s="49">
        <v>8</v>
      </c>
      <c r="L418" s="49"/>
      <c r="M418" s="49"/>
      <c r="N418" s="49"/>
      <c r="O418" s="49"/>
      <c r="P418" s="49"/>
      <c r="Q418" s="49"/>
      <c r="R418" s="49"/>
      <c r="S418" s="49"/>
      <c r="T418" s="41"/>
      <c r="U418" s="42"/>
      <c r="V418" s="42"/>
      <c r="W418" s="42"/>
      <c r="X418" s="42"/>
      <c r="Y418" s="42"/>
      <c r="Z418" s="42"/>
      <c r="AA418" s="127">
        <f t="shared" si="6"/>
        <v>0</v>
      </c>
      <c r="AB418" s="43" t="s">
        <v>7</v>
      </c>
    </row>
    <row r="419" spans="1:28" ht="24.75">
      <c r="A419" s="38">
        <v>36084</v>
      </c>
      <c r="B419" s="39" t="s">
        <v>126</v>
      </c>
      <c r="C419" s="40" t="s">
        <v>545</v>
      </c>
      <c r="D419" s="40" t="s">
        <v>821</v>
      </c>
      <c r="E419" s="48"/>
      <c r="F419" s="48"/>
      <c r="G419" s="48"/>
      <c r="H419" s="48">
        <f>72*5</f>
        <v>360</v>
      </c>
      <c r="I419" s="48">
        <v>72</v>
      </c>
      <c r="J419" s="48"/>
      <c r="K419" s="49"/>
      <c r="L419" s="49"/>
      <c r="M419" s="49"/>
      <c r="N419" s="49"/>
      <c r="O419" s="49"/>
      <c r="P419" s="49"/>
      <c r="Q419" s="49"/>
      <c r="R419" s="49"/>
      <c r="S419" s="49"/>
      <c r="T419" s="41"/>
      <c r="U419" s="42">
        <v>4484320.4</v>
      </c>
      <c r="V419" s="42"/>
      <c r="W419" s="42"/>
      <c r="X419" s="42"/>
      <c r="Y419" s="42"/>
      <c r="Z419" s="42"/>
      <c r="AA419" s="127">
        <f t="shared" si="6"/>
        <v>4484320.4</v>
      </c>
      <c r="AB419" s="43" t="s">
        <v>803</v>
      </c>
    </row>
    <row r="420" spans="1:28" ht="24.75">
      <c r="A420" s="38">
        <v>36085</v>
      </c>
      <c r="B420" s="39" t="s">
        <v>829</v>
      </c>
      <c r="C420" s="40" t="s">
        <v>122</v>
      </c>
      <c r="D420" s="40" t="s">
        <v>875</v>
      </c>
      <c r="E420" s="48"/>
      <c r="F420" s="48"/>
      <c r="G420" s="48"/>
      <c r="H420" s="48">
        <v>10</v>
      </c>
      <c r="I420" s="48">
        <v>2</v>
      </c>
      <c r="J420" s="48">
        <v>2</v>
      </c>
      <c r="K420" s="49"/>
      <c r="L420" s="49"/>
      <c r="M420" s="49">
        <v>1</v>
      </c>
      <c r="N420" s="49"/>
      <c r="O420" s="49"/>
      <c r="P420" s="49"/>
      <c r="Q420" s="49"/>
      <c r="R420" s="49"/>
      <c r="S420" s="49"/>
      <c r="T420" s="41"/>
      <c r="U420" s="42"/>
      <c r="V420" s="42"/>
      <c r="W420" s="42"/>
      <c r="X420" s="42"/>
      <c r="Y420" s="42"/>
      <c r="Z420" s="42"/>
      <c r="AA420" s="127">
        <f t="shared" si="6"/>
        <v>0</v>
      </c>
      <c r="AB420" s="43" t="s">
        <v>807</v>
      </c>
    </row>
    <row r="421" spans="1:28" ht="12.75">
      <c r="A421" s="38">
        <v>36085</v>
      </c>
      <c r="B421" s="39" t="s">
        <v>22</v>
      </c>
      <c r="C421" s="40" t="s">
        <v>770</v>
      </c>
      <c r="D421" s="40" t="s">
        <v>879</v>
      </c>
      <c r="E421" s="48"/>
      <c r="F421" s="48"/>
      <c r="G421" s="48"/>
      <c r="H421" s="48">
        <v>25</v>
      </c>
      <c r="I421" s="48">
        <v>5</v>
      </c>
      <c r="J421" s="48">
        <v>3</v>
      </c>
      <c r="K421" s="49">
        <v>2</v>
      </c>
      <c r="L421" s="49"/>
      <c r="M421" s="49"/>
      <c r="N421" s="49"/>
      <c r="O421" s="49"/>
      <c r="P421" s="49"/>
      <c r="Q421" s="49"/>
      <c r="R421" s="49"/>
      <c r="S421" s="49"/>
      <c r="T421" s="41"/>
      <c r="U421" s="42">
        <v>983024</v>
      </c>
      <c r="V421" s="42">
        <v>115000</v>
      </c>
      <c r="W421" s="42"/>
      <c r="X421" s="42"/>
      <c r="Y421" s="42"/>
      <c r="Z421" s="42"/>
      <c r="AA421" s="127">
        <f t="shared" si="6"/>
        <v>1098024</v>
      </c>
      <c r="AB421" s="43" t="s">
        <v>771</v>
      </c>
    </row>
    <row r="422" spans="1:28" ht="33">
      <c r="A422" s="38">
        <v>36086</v>
      </c>
      <c r="B422" s="39" t="s">
        <v>820</v>
      </c>
      <c r="C422" s="40" t="s">
        <v>810</v>
      </c>
      <c r="D422" s="40" t="s">
        <v>707</v>
      </c>
      <c r="E422" s="48">
        <v>71</v>
      </c>
      <c r="F422" s="48">
        <v>64</v>
      </c>
      <c r="G422" s="48"/>
      <c r="H422" s="48">
        <v>1078</v>
      </c>
      <c r="I422" s="48">
        <v>230</v>
      </c>
      <c r="J422" s="48">
        <v>36</v>
      </c>
      <c r="K422" s="49">
        <v>28</v>
      </c>
      <c r="L422" s="49"/>
      <c r="M422" s="49"/>
      <c r="N422" s="49"/>
      <c r="O422" s="49"/>
      <c r="P422" s="49"/>
      <c r="Q422" s="49"/>
      <c r="R422" s="49"/>
      <c r="S422" s="49"/>
      <c r="T422" s="41"/>
      <c r="U422" s="42">
        <v>3756230.2</v>
      </c>
      <c r="V422" s="42">
        <v>230733.33</v>
      </c>
      <c r="W422" s="42"/>
      <c r="X422" s="42"/>
      <c r="Y422" s="42"/>
      <c r="Z422" s="42"/>
      <c r="AA422" s="127">
        <f t="shared" si="6"/>
        <v>3986963.5300000003</v>
      </c>
      <c r="AB422" s="43" t="s">
        <v>729</v>
      </c>
    </row>
    <row r="423" spans="1:28" ht="57.75">
      <c r="A423" s="38">
        <v>36086</v>
      </c>
      <c r="B423" s="39" t="s">
        <v>203</v>
      </c>
      <c r="C423" s="40" t="s">
        <v>802</v>
      </c>
      <c r="D423" s="40" t="s">
        <v>875</v>
      </c>
      <c r="E423" s="48"/>
      <c r="F423" s="48"/>
      <c r="G423" s="48"/>
      <c r="H423" s="48">
        <v>3112</v>
      </c>
      <c r="I423" s="48">
        <v>642</v>
      </c>
      <c r="J423" s="48">
        <v>252</v>
      </c>
      <c r="K423" s="49">
        <v>390</v>
      </c>
      <c r="L423" s="49"/>
      <c r="M423" s="49"/>
      <c r="N423" s="49"/>
      <c r="O423" s="49"/>
      <c r="P423" s="49"/>
      <c r="Q423" s="49"/>
      <c r="R423" s="49"/>
      <c r="S423" s="49"/>
      <c r="T423" s="41"/>
      <c r="U423" s="42"/>
      <c r="V423" s="42"/>
      <c r="W423" s="42"/>
      <c r="X423" s="42"/>
      <c r="Y423" s="42"/>
      <c r="Z423" s="42"/>
      <c r="AA423" s="127">
        <f t="shared" si="6"/>
        <v>0</v>
      </c>
      <c r="AB423" s="43" t="s">
        <v>674</v>
      </c>
    </row>
    <row r="424" spans="1:28" ht="24.75">
      <c r="A424" s="38">
        <v>36087</v>
      </c>
      <c r="B424" s="39" t="s">
        <v>92</v>
      </c>
      <c r="C424" s="40" t="s">
        <v>93</v>
      </c>
      <c r="D424" s="40" t="s">
        <v>821</v>
      </c>
      <c r="E424" s="48"/>
      <c r="F424" s="48"/>
      <c r="G424" s="48"/>
      <c r="H424" s="48">
        <v>23</v>
      </c>
      <c r="I424" s="48">
        <v>4</v>
      </c>
      <c r="J424" s="48"/>
      <c r="K424" s="49"/>
      <c r="L424" s="49"/>
      <c r="M424" s="49"/>
      <c r="N424" s="49"/>
      <c r="O424" s="49"/>
      <c r="P424" s="49"/>
      <c r="Q424" s="49"/>
      <c r="R424" s="49"/>
      <c r="S424" s="49"/>
      <c r="T424" s="41"/>
      <c r="U424" s="42"/>
      <c r="V424" s="42">
        <v>92000</v>
      </c>
      <c r="W424" s="42"/>
      <c r="X424" s="42"/>
      <c r="Y424" s="42"/>
      <c r="Z424" s="42">
        <v>0</v>
      </c>
      <c r="AA424" s="127">
        <f t="shared" si="6"/>
        <v>92000</v>
      </c>
      <c r="AB424" s="43" t="s">
        <v>363</v>
      </c>
    </row>
    <row r="425" spans="1:29" ht="33">
      <c r="A425" s="38">
        <v>36088</v>
      </c>
      <c r="B425" s="39" t="s">
        <v>203</v>
      </c>
      <c r="C425" s="40" t="s">
        <v>794</v>
      </c>
      <c r="D425" s="40" t="s">
        <v>821</v>
      </c>
      <c r="E425" s="48"/>
      <c r="F425" s="48"/>
      <c r="G425" s="48"/>
      <c r="H425" s="48">
        <v>364</v>
      </c>
      <c r="I425" s="48">
        <v>58</v>
      </c>
      <c r="J425" s="48"/>
      <c r="K425" s="49">
        <v>18</v>
      </c>
      <c r="L425" s="49">
        <v>4</v>
      </c>
      <c r="M425" s="49"/>
      <c r="N425" s="49"/>
      <c r="O425" s="49"/>
      <c r="P425" s="49"/>
      <c r="Q425" s="49"/>
      <c r="R425" s="49"/>
      <c r="S425" s="49"/>
      <c r="T425" s="41" t="s">
        <v>795</v>
      </c>
      <c r="U425" s="42">
        <v>10482305.179999998</v>
      </c>
      <c r="V425" s="42">
        <v>1334000</v>
      </c>
      <c r="W425" s="42"/>
      <c r="X425" s="42"/>
      <c r="Y425" s="42"/>
      <c r="Z425" s="42"/>
      <c r="AA425" s="127">
        <f t="shared" si="6"/>
        <v>11816305.179999998</v>
      </c>
      <c r="AB425" s="43" t="s">
        <v>677</v>
      </c>
      <c r="AC425" s="4" t="s">
        <v>594</v>
      </c>
    </row>
    <row r="426" spans="1:28" ht="16.5">
      <c r="A426" s="38">
        <v>36088</v>
      </c>
      <c r="B426" s="39" t="s">
        <v>203</v>
      </c>
      <c r="C426" s="40" t="s">
        <v>796</v>
      </c>
      <c r="D426" s="40" t="s">
        <v>821</v>
      </c>
      <c r="E426" s="48"/>
      <c r="F426" s="48"/>
      <c r="G426" s="48"/>
      <c r="H426" s="48">
        <v>305</v>
      </c>
      <c r="I426" s="48">
        <v>61</v>
      </c>
      <c r="J426" s="48"/>
      <c r="K426" s="49">
        <v>61</v>
      </c>
      <c r="L426" s="49">
        <v>2</v>
      </c>
      <c r="M426" s="49">
        <v>3</v>
      </c>
      <c r="N426" s="49"/>
      <c r="O426" s="49">
        <v>1</v>
      </c>
      <c r="P426" s="49"/>
      <c r="Q426" s="49"/>
      <c r="R426" s="49"/>
      <c r="S426" s="49"/>
      <c r="T426" s="41"/>
      <c r="U426" s="42">
        <v>10916167.79</v>
      </c>
      <c r="V426" s="42">
        <v>1403000</v>
      </c>
      <c r="W426" s="42"/>
      <c r="X426" s="42"/>
      <c r="Y426" s="42"/>
      <c r="Z426" s="42"/>
      <c r="AA426" s="127">
        <f t="shared" si="6"/>
        <v>12319167.79</v>
      </c>
      <c r="AB426" s="43" t="s">
        <v>678</v>
      </c>
    </row>
    <row r="427" spans="1:28" ht="12.75">
      <c r="A427" s="38">
        <v>36088</v>
      </c>
      <c r="B427" s="39" t="s">
        <v>203</v>
      </c>
      <c r="C427" s="40" t="s">
        <v>723</v>
      </c>
      <c r="D427" s="40" t="s">
        <v>821</v>
      </c>
      <c r="E427" s="48"/>
      <c r="F427" s="48"/>
      <c r="G427" s="48"/>
      <c r="H427" s="48">
        <v>3340</v>
      </c>
      <c r="I427" s="48">
        <v>689</v>
      </c>
      <c r="J427" s="48">
        <v>277</v>
      </c>
      <c r="K427" s="49">
        <v>412</v>
      </c>
      <c r="L427" s="49"/>
      <c r="M427" s="49"/>
      <c r="N427" s="49"/>
      <c r="O427" s="49"/>
      <c r="P427" s="49"/>
      <c r="Q427" s="49"/>
      <c r="R427" s="49"/>
      <c r="S427" s="49"/>
      <c r="T427" s="41"/>
      <c r="U427" s="42">
        <v>55862127.199999996</v>
      </c>
      <c r="V427" s="42">
        <v>15847000</v>
      </c>
      <c r="W427" s="42"/>
      <c r="X427" s="42"/>
      <c r="Y427" s="42"/>
      <c r="Z427" s="42"/>
      <c r="AA427" s="127">
        <f t="shared" si="6"/>
        <v>71709127.19999999</v>
      </c>
      <c r="AB427" s="43" t="s">
        <v>679</v>
      </c>
    </row>
    <row r="428" spans="1:28" ht="12.75">
      <c r="A428" s="38">
        <v>36091</v>
      </c>
      <c r="B428" s="39" t="s">
        <v>820</v>
      </c>
      <c r="C428" s="40" t="s">
        <v>642</v>
      </c>
      <c r="D428" s="40" t="s">
        <v>821</v>
      </c>
      <c r="E428" s="48"/>
      <c r="F428" s="48"/>
      <c r="G428" s="48"/>
      <c r="H428" s="48">
        <v>98</v>
      </c>
      <c r="I428" s="48">
        <v>23</v>
      </c>
      <c r="J428" s="48"/>
      <c r="K428" s="49">
        <v>23</v>
      </c>
      <c r="L428" s="49"/>
      <c r="M428" s="49"/>
      <c r="N428" s="49"/>
      <c r="O428" s="49"/>
      <c r="P428" s="49"/>
      <c r="Q428" s="49"/>
      <c r="R428" s="49"/>
      <c r="S428" s="49"/>
      <c r="T428" s="41"/>
      <c r="U428" s="42"/>
      <c r="V428" s="42"/>
      <c r="W428" s="42"/>
      <c r="X428" s="42"/>
      <c r="Y428" s="42"/>
      <c r="Z428" s="42"/>
      <c r="AA428" s="127">
        <f t="shared" si="6"/>
        <v>0</v>
      </c>
      <c r="AB428" s="43" t="s">
        <v>644</v>
      </c>
    </row>
    <row r="429" spans="1:28" ht="24.75">
      <c r="A429" s="38">
        <v>36091</v>
      </c>
      <c r="B429" s="39" t="s">
        <v>13</v>
      </c>
      <c r="C429" s="40" t="s">
        <v>634</v>
      </c>
      <c r="D429" s="40" t="s">
        <v>821</v>
      </c>
      <c r="E429" s="48"/>
      <c r="F429" s="48"/>
      <c r="G429" s="48"/>
      <c r="H429" s="48"/>
      <c r="I429" s="48"/>
      <c r="J429" s="48"/>
      <c r="K429" s="49"/>
      <c r="L429" s="49"/>
      <c r="M429" s="49">
        <v>1</v>
      </c>
      <c r="N429" s="49"/>
      <c r="O429" s="49"/>
      <c r="P429" s="49"/>
      <c r="Q429" s="49"/>
      <c r="R429" s="49"/>
      <c r="S429" s="49"/>
      <c r="T429" s="41" t="s">
        <v>726</v>
      </c>
      <c r="U429" s="42"/>
      <c r="V429" s="42"/>
      <c r="W429" s="42"/>
      <c r="X429" s="42"/>
      <c r="Y429" s="42"/>
      <c r="Z429" s="42"/>
      <c r="AA429" s="127">
        <f t="shared" si="6"/>
        <v>0</v>
      </c>
      <c r="AB429" s="43" t="s">
        <v>727</v>
      </c>
    </row>
    <row r="430" spans="1:28" ht="57.75">
      <c r="A430" s="38">
        <v>36092</v>
      </c>
      <c r="B430" s="39" t="s">
        <v>22</v>
      </c>
      <c r="C430" s="40" t="s">
        <v>24</v>
      </c>
      <c r="D430" s="40" t="s">
        <v>821</v>
      </c>
      <c r="E430" s="48"/>
      <c r="F430" s="48"/>
      <c r="G430" s="48"/>
      <c r="H430" s="48">
        <f>186*5</f>
        <v>930</v>
      </c>
      <c r="I430" s="48">
        <v>186</v>
      </c>
      <c r="J430" s="48"/>
      <c r="K430" s="49"/>
      <c r="L430" s="49"/>
      <c r="M430" s="49"/>
      <c r="N430" s="49"/>
      <c r="O430" s="49"/>
      <c r="P430" s="49"/>
      <c r="Q430" s="49"/>
      <c r="R430" s="49"/>
      <c r="S430" s="49"/>
      <c r="T430" s="41"/>
      <c r="U430" s="42">
        <v>26995353.180000003</v>
      </c>
      <c r="V430" s="42">
        <v>4623000</v>
      </c>
      <c r="W430" s="42"/>
      <c r="X430" s="42"/>
      <c r="Y430" s="42">
        <v>5500000</v>
      </c>
      <c r="Z430" s="42">
        <f>7000000+2000000</f>
        <v>9000000</v>
      </c>
      <c r="AA430" s="127">
        <f t="shared" si="6"/>
        <v>46118353.18000001</v>
      </c>
      <c r="AB430" s="43" t="s">
        <v>404</v>
      </c>
    </row>
    <row r="431" spans="1:28" ht="49.5">
      <c r="A431" s="38">
        <v>36092</v>
      </c>
      <c r="B431" s="39" t="s">
        <v>22</v>
      </c>
      <c r="C431" s="40" t="s">
        <v>812</v>
      </c>
      <c r="D431" s="40" t="s">
        <v>821</v>
      </c>
      <c r="E431" s="48"/>
      <c r="F431" s="48"/>
      <c r="G431" s="48"/>
      <c r="H431" s="48">
        <f>231*5</f>
        <v>1155</v>
      </c>
      <c r="I431" s="48">
        <v>231</v>
      </c>
      <c r="J431" s="48"/>
      <c r="K431" s="49"/>
      <c r="L431" s="49"/>
      <c r="M431" s="49"/>
      <c r="N431" s="49"/>
      <c r="O431" s="49"/>
      <c r="P431" s="49"/>
      <c r="Q431" s="49"/>
      <c r="R431" s="49"/>
      <c r="S431" s="49"/>
      <c r="T431" s="41"/>
      <c r="U431" s="42">
        <v>29874451.529999997</v>
      </c>
      <c r="V431" s="42">
        <v>5313000</v>
      </c>
      <c r="W431" s="42"/>
      <c r="X431" s="42"/>
      <c r="Y431" s="42"/>
      <c r="Z431" s="42"/>
      <c r="AA431" s="127">
        <f t="shared" si="6"/>
        <v>35187451.53</v>
      </c>
      <c r="AB431" s="43" t="s">
        <v>728</v>
      </c>
    </row>
    <row r="432" spans="1:28" ht="41.25">
      <c r="A432" s="38">
        <v>36092</v>
      </c>
      <c r="B432" s="39" t="s">
        <v>22</v>
      </c>
      <c r="C432" s="40" t="s">
        <v>769</v>
      </c>
      <c r="D432" s="40" t="s">
        <v>821</v>
      </c>
      <c r="E432" s="48"/>
      <c r="F432" s="48"/>
      <c r="G432" s="48"/>
      <c r="H432" s="48">
        <f>726+271</f>
        <v>997</v>
      </c>
      <c r="I432" s="48">
        <f>130+57</f>
        <v>187</v>
      </c>
      <c r="J432" s="48">
        <f>35+8</f>
        <v>43</v>
      </c>
      <c r="K432" s="49">
        <v>34</v>
      </c>
      <c r="L432" s="49"/>
      <c r="M432" s="49"/>
      <c r="N432" s="49"/>
      <c r="O432" s="49"/>
      <c r="P432" s="49"/>
      <c r="Q432" s="49"/>
      <c r="R432" s="49"/>
      <c r="S432" s="49"/>
      <c r="T432" s="41" t="s">
        <v>745</v>
      </c>
      <c r="U432" s="42">
        <v>24184079.81</v>
      </c>
      <c r="V432" s="42">
        <v>4301000</v>
      </c>
      <c r="W432" s="42"/>
      <c r="X432" s="42"/>
      <c r="Y432" s="42">
        <v>5040000</v>
      </c>
      <c r="Z432" s="42"/>
      <c r="AA432" s="127">
        <f t="shared" si="6"/>
        <v>33525079.81</v>
      </c>
      <c r="AB432" s="43" t="s">
        <v>405</v>
      </c>
    </row>
    <row r="433" spans="1:28" ht="24.75">
      <c r="A433" s="38">
        <v>36092</v>
      </c>
      <c r="B433" s="39" t="s">
        <v>22</v>
      </c>
      <c r="C433" s="40" t="s">
        <v>23</v>
      </c>
      <c r="D433" s="40" t="s">
        <v>821</v>
      </c>
      <c r="E433" s="48"/>
      <c r="F433" s="48"/>
      <c r="G433" s="48"/>
      <c r="H433" s="48">
        <v>1780</v>
      </c>
      <c r="I433" s="48">
        <v>363</v>
      </c>
      <c r="J433" s="48"/>
      <c r="K433" s="49">
        <v>35</v>
      </c>
      <c r="L433" s="49"/>
      <c r="M433" s="49"/>
      <c r="N433" s="49"/>
      <c r="O433" s="49"/>
      <c r="P433" s="49"/>
      <c r="Q433" s="49"/>
      <c r="R433" s="49"/>
      <c r="S433" s="49"/>
      <c r="T433" s="41"/>
      <c r="U433" s="42">
        <v>46945566.69</v>
      </c>
      <c r="V433" s="42">
        <v>8349000</v>
      </c>
      <c r="W433" s="42"/>
      <c r="X433" s="42"/>
      <c r="Y433" s="42"/>
      <c r="Z433" s="42"/>
      <c r="AA433" s="127">
        <f t="shared" si="6"/>
        <v>55294566.69</v>
      </c>
      <c r="AB433" s="43" t="s">
        <v>744</v>
      </c>
    </row>
    <row r="434" spans="1:28" ht="12.75">
      <c r="A434" s="38">
        <v>36093</v>
      </c>
      <c r="B434" s="39" t="s">
        <v>820</v>
      </c>
      <c r="C434" s="40" t="s">
        <v>195</v>
      </c>
      <c r="D434" s="40" t="s">
        <v>891</v>
      </c>
      <c r="E434" s="48"/>
      <c r="F434" s="48"/>
      <c r="G434" s="48"/>
      <c r="H434" s="48">
        <v>10</v>
      </c>
      <c r="I434" s="48">
        <v>2</v>
      </c>
      <c r="J434" s="48"/>
      <c r="K434" s="49"/>
      <c r="L434" s="49"/>
      <c r="M434" s="49"/>
      <c r="N434" s="49"/>
      <c r="O434" s="49"/>
      <c r="P434" s="49"/>
      <c r="Q434" s="49"/>
      <c r="R434" s="49"/>
      <c r="S434" s="49"/>
      <c r="T434" s="41"/>
      <c r="U434" s="42"/>
      <c r="V434" s="42"/>
      <c r="W434" s="42"/>
      <c r="X434" s="42"/>
      <c r="Y434" s="42"/>
      <c r="Z434" s="42"/>
      <c r="AA434" s="127">
        <f t="shared" si="6"/>
        <v>0</v>
      </c>
      <c r="AB434" s="43" t="s">
        <v>801</v>
      </c>
    </row>
    <row r="435" spans="1:29" ht="16.5">
      <c r="A435" s="38">
        <v>36093</v>
      </c>
      <c r="B435" s="39" t="s">
        <v>820</v>
      </c>
      <c r="C435" s="40" t="s">
        <v>179</v>
      </c>
      <c r="D435" s="40" t="s">
        <v>891</v>
      </c>
      <c r="E435" s="48"/>
      <c r="F435" s="48"/>
      <c r="G435" s="48"/>
      <c r="H435" s="48"/>
      <c r="I435" s="48"/>
      <c r="J435" s="48"/>
      <c r="K435" s="49"/>
      <c r="L435" s="49"/>
      <c r="M435" s="49">
        <v>1</v>
      </c>
      <c r="N435" s="49"/>
      <c r="O435" s="49"/>
      <c r="P435" s="49"/>
      <c r="Q435" s="49"/>
      <c r="R435" s="49"/>
      <c r="S435" s="49"/>
      <c r="T435" s="41"/>
      <c r="U435" s="42"/>
      <c r="V435" s="42"/>
      <c r="W435" s="42"/>
      <c r="X435" s="42"/>
      <c r="Y435" s="42"/>
      <c r="Z435" s="42"/>
      <c r="AA435" s="127">
        <f t="shared" si="6"/>
        <v>0</v>
      </c>
      <c r="AB435" s="43" t="s">
        <v>676</v>
      </c>
      <c r="AC435" s="4" t="s">
        <v>594</v>
      </c>
    </row>
    <row r="436" spans="1:28" ht="33">
      <c r="A436" s="38">
        <v>36093</v>
      </c>
      <c r="B436" s="39" t="s">
        <v>100</v>
      </c>
      <c r="C436" s="40" t="s">
        <v>401</v>
      </c>
      <c r="D436" s="40" t="s">
        <v>107</v>
      </c>
      <c r="E436" s="48">
        <v>5</v>
      </c>
      <c r="F436" s="48">
        <v>5</v>
      </c>
      <c r="G436" s="48">
        <v>1</v>
      </c>
      <c r="H436" s="48">
        <v>900</v>
      </c>
      <c r="I436" s="48">
        <v>150</v>
      </c>
      <c r="J436" s="48">
        <v>7</v>
      </c>
      <c r="K436" s="49">
        <v>30</v>
      </c>
      <c r="L436" s="49">
        <v>3</v>
      </c>
      <c r="M436" s="49">
        <v>4</v>
      </c>
      <c r="N436" s="49">
        <v>3</v>
      </c>
      <c r="O436" s="49">
        <v>7</v>
      </c>
      <c r="P436" s="49"/>
      <c r="Q436" s="49"/>
      <c r="R436" s="49"/>
      <c r="S436" s="49"/>
      <c r="T436" s="41" t="s">
        <v>808</v>
      </c>
      <c r="U436" s="42">
        <v>32125819.02</v>
      </c>
      <c r="V436" s="42">
        <v>3450000</v>
      </c>
      <c r="W436" s="42"/>
      <c r="X436" s="42"/>
      <c r="Y436" s="42"/>
      <c r="Z436" s="42"/>
      <c r="AA436" s="127">
        <f t="shared" si="6"/>
        <v>35575819.019999996</v>
      </c>
      <c r="AB436" s="43" t="s">
        <v>809</v>
      </c>
    </row>
    <row r="437" spans="1:28" ht="12.75">
      <c r="A437" s="38">
        <v>36094</v>
      </c>
      <c r="B437" s="39" t="s">
        <v>820</v>
      </c>
      <c r="C437" s="40" t="s">
        <v>202</v>
      </c>
      <c r="D437" s="40" t="s">
        <v>891</v>
      </c>
      <c r="E437" s="48">
        <v>2</v>
      </c>
      <c r="F437" s="48">
        <v>1</v>
      </c>
      <c r="G437" s="48"/>
      <c r="H437" s="48">
        <v>5</v>
      </c>
      <c r="I437" s="48">
        <v>1</v>
      </c>
      <c r="J437" s="48">
        <v>1</v>
      </c>
      <c r="K437" s="49"/>
      <c r="L437" s="49"/>
      <c r="M437" s="49"/>
      <c r="N437" s="49"/>
      <c r="O437" s="49"/>
      <c r="P437" s="49"/>
      <c r="Q437" s="49"/>
      <c r="R437" s="49"/>
      <c r="S437" s="49"/>
      <c r="T437" s="41"/>
      <c r="U437" s="42"/>
      <c r="V437" s="42"/>
      <c r="W437" s="42"/>
      <c r="X437" s="42"/>
      <c r="Y437" s="42"/>
      <c r="Z437" s="42"/>
      <c r="AA437" s="127">
        <f t="shared" si="6"/>
        <v>0</v>
      </c>
      <c r="AB437" s="43" t="s">
        <v>614</v>
      </c>
    </row>
    <row r="438" spans="1:28" ht="12.75">
      <c r="A438" s="38">
        <v>36094</v>
      </c>
      <c r="B438" s="39" t="s">
        <v>820</v>
      </c>
      <c r="C438" s="40" t="s">
        <v>202</v>
      </c>
      <c r="D438" s="40" t="s">
        <v>891</v>
      </c>
      <c r="E438" s="48"/>
      <c r="F438" s="48"/>
      <c r="G438" s="48"/>
      <c r="H438" s="48"/>
      <c r="I438" s="48"/>
      <c r="J438" s="48"/>
      <c r="K438" s="49"/>
      <c r="L438" s="49"/>
      <c r="M438" s="49"/>
      <c r="N438" s="49"/>
      <c r="O438" s="49"/>
      <c r="P438" s="49"/>
      <c r="Q438" s="49"/>
      <c r="R438" s="49">
        <v>1</v>
      </c>
      <c r="S438" s="49">
        <v>1</v>
      </c>
      <c r="T438" s="41"/>
      <c r="U438" s="42"/>
      <c r="V438" s="42"/>
      <c r="W438" s="42"/>
      <c r="X438" s="42"/>
      <c r="Y438" s="42"/>
      <c r="Z438" s="42"/>
      <c r="AA438" s="127">
        <f t="shared" si="6"/>
        <v>0</v>
      </c>
      <c r="AB438" s="43" t="s">
        <v>615</v>
      </c>
    </row>
    <row r="439" spans="1:28" ht="33">
      <c r="A439" s="38">
        <v>36094</v>
      </c>
      <c r="B439" s="39" t="s">
        <v>13</v>
      </c>
      <c r="C439" s="40" t="s">
        <v>514</v>
      </c>
      <c r="D439" s="40" t="s">
        <v>821</v>
      </c>
      <c r="E439" s="48">
        <v>1</v>
      </c>
      <c r="F439" s="48"/>
      <c r="G439" s="48">
        <v>1</v>
      </c>
      <c r="H439" s="48">
        <v>84</v>
      </c>
      <c r="I439" s="48">
        <v>14</v>
      </c>
      <c r="J439" s="48"/>
      <c r="K439" s="49">
        <v>14</v>
      </c>
      <c r="L439" s="49">
        <v>1</v>
      </c>
      <c r="M439" s="49"/>
      <c r="N439" s="49"/>
      <c r="O439" s="49"/>
      <c r="P439" s="49"/>
      <c r="Q439" s="49"/>
      <c r="R439" s="49"/>
      <c r="S439" s="49"/>
      <c r="T439" s="41" t="s">
        <v>724</v>
      </c>
      <c r="U439" s="42">
        <v>2572729.74</v>
      </c>
      <c r="V439" s="42"/>
      <c r="W439" s="42"/>
      <c r="X439" s="42"/>
      <c r="Y439" s="42"/>
      <c r="Z439" s="42"/>
      <c r="AA439" s="127">
        <f t="shared" si="6"/>
        <v>2572729.74</v>
      </c>
      <c r="AB439" s="43" t="s">
        <v>725</v>
      </c>
    </row>
    <row r="440" spans="1:28" ht="22.5">
      <c r="A440" s="38">
        <v>36094</v>
      </c>
      <c r="B440" s="39" t="s">
        <v>22</v>
      </c>
      <c r="C440" s="40" t="s">
        <v>362</v>
      </c>
      <c r="D440" s="40" t="s">
        <v>891</v>
      </c>
      <c r="E440" s="48"/>
      <c r="F440" s="48"/>
      <c r="G440" s="48"/>
      <c r="H440" s="48">
        <v>20</v>
      </c>
      <c r="I440" s="48">
        <v>4</v>
      </c>
      <c r="J440" s="48">
        <v>4</v>
      </c>
      <c r="K440" s="49"/>
      <c r="L440" s="49"/>
      <c r="M440" s="49"/>
      <c r="N440" s="49"/>
      <c r="O440" s="49"/>
      <c r="P440" s="49"/>
      <c r="Q440" s="49"/>
      <c r="R440" s="49"/>
      <c r="S440" s="49"/>
      <c r="T440" s="41"/>
      <c r="U440" s="42"/>
      <c r="V440" s="42"/>
      <c r="W440" s="42"/>
      <c r="X440" s="42"/>
      <c r="Y440" s="42"/>
      <c r="Z440" s="42"/>
      <c r="AA440" s="127">
        <f t="shared" si="6"/>
        <v>0</v>
      </c>
      <c r="AB440" s="43" t="s">
        <v>324</v>
      </c>
    </row>
    <row r="441" spans="1:28" ht="12.75">
      <c r="A441" s="38">
        <v>36094</v>
      </c>
      <c r="B441" s="39" t="s">
        <v>904</v>
      </c>
      <c r="C441" s="40" t="s">
        <v>351</v>
      </c>
      <c r="D441" s="40" t="s">
        <v>821</v>
      </c>
      <c r="E441" s="48"/>
      <c r="F441" s="48"/>
      <c r="G441" s="48"/>
      <c r="H441" s="48">
        <f>340*5</f>
        <v>1700</v>
      </c>
      <c r="I441" s="48">
        <v>340</v>
      </c>
      <c r="J441" s="48"/>
      <c r="K441" s="49"/>
      <c r="L441" s="49"/>
      <c r="M441" s="49"/>
      <c r="N441" s="49"/>
      <c r="O441" s="49"/>
      <c r="P441" s="49"/>
      <c r="Q441" s="49"/>
      <c r="R441" s="49"/>
      <c r="S441" s="49"/>
      <c r="T441" s="41"/>
      <c r="U441" s="42"/>
      <c r="V441" s="42">
        <v>2024000</v>
      </c>
      <c r="W441" s="42"/>
      <c r="X441" s="42"/>
      <c r="Y441" s="42"/>
      <c r="Z441" s="42"/>
      <c r="AA441" s="127">
        <f t="shared" si="6"/>
        <v>2024000</v>
      </c>
      <c r="AB441" s="43" t="s">
        <v>354</v>
      </c>
    </row>
    <row r="442" spans="1:28" ht="12.75">
      <c r="A442" s="38">
        <v>36094</v>
      </c>
      <c r="B442" s="39" t="s">
        <v>904</v>
      </c>
      <c r="C442" s="40" t="s">
        <v>646</v>
      </c>
      <c r="D442" s="40" t="s">
        <v>821</v>
      </c>
      <c r="E442" s="48"/>
      <c r="F442" s="48"/>
      <c r="G442" s="48"/>
      <c r="H442" s="48">
        <f>420*5</f>
        <v>2100</v>
      </c>
      <c r="I442" s="48">
        <v>420</v>
      </c>
      <c r="J442" s="48"/>
      <c r="K442" s="49"/>
      <c r="L442" s="49"/>
      <c r="M442" s="49"/>
      <c r="N442" s="49"/>
      <c r="O442" s="49"/>
      <c r="P442" s="49"/>
      <c r="Q442" s="49"/>
      <c r="R442" s="49"/>
      <c r="S442" s="49"/>
      <c r="T442" s="41"/>
      <c r="U442" s="42"/>
      <c r="V442" s="42">
        <v>2484000</v>
      </c>
      <c r="W442" s="42"/>
      <c r="X442" s="42"/>
      <c r="Y442" s="42"/>
      <c r="Z442" s="42"/>
      <c r="AA442" s="127">
        <f t="shared" si="6"/>
        <v>2484000</v>
      </c>
      <c r="AB442" s="43" t="s">
        <v>354</v>
      </c>
    </row>
    <row r="443" spans="1:28" ht="12.75">
      <c r="A443" s="38">
        <v>36094</v>
      </c>
      <c r="B443" s="39" t="s">
        <v>904</v>
      </c>
      <c r="C443" s="40" t="s">
        <v>689</v>
      </c>
      <c r="D443" s="40" t="s">
        <v>821</v>
      </c>
      <c r="E443" s="48"/>
      <c r="F443" s="48"/>
      <c r="G443" s="48"/>
      <c r="H443" s="48">
        <f>740*5</f>
        <v>3700</v>
      </c>
      <c r="I443" s="48">
        <v>740</v>
      </c>
      <c r="J443" s="48"/>
      <c r="K443" s="49"/>
      <c r="L443" s="49"/>
      <c r="M443" s="49"/>
      <c r="N443" s="49"/>
      <c r="O443" s="49"/>
      <c r="P443" s="49"/>
      <c r="Q443" s="49"/>
      <c r="R443" s="49"/>
      <c r="S443" s="49"/>
      <c r="T443" s="41"/>
      <c r="U443" s="42"/>
      <c r="V443" s="42">
        <v>4370000</v>
      </c>
      <c r="W443" s="42"/>
      <c r="X443" s="42"/>
      <c r="Y443" s="42"/>
      <c r="Z443" s="42"/>
      <c r="AA443" s="127">
        <f t="shared" si="6"/>
        <v>4370000</v>
      </c>
      <c r="AB443" s="43" t="s">
        <v>354</v>
      </c>
    </row>
    <row r="444" spans="1:28" ht="12.75">
      <c r="A444" s="38">
        <v>36094</v>
      </c>
      <c r="B444" s="39" t="s">
        <v>904</v>
      </c>
      <c r="C444" s="40" t="s">
        <v>352</v>
      </c>
      <c r="D444" s="40" t="s">
        <v>821</v>
      </c>
      <c r="E444" s="48"/>
      <c r="F444" s="48"/>
      <c r="G444" s="48"/>
      <c r="H444" s="48">
        <f>200*5</f>
        <v>1000</v>
      </c>
      <c r="I444" s="48">
        <v>200</v>
      </c>
      <c r="J444" s="48"/>
      <c r="K444" s="49"/>
      <c r="L444" s="49"/>
      <c r="M444" s="49"/>
      <c r="N444" s="49"/>
      <c r="O444" s="49"/>
      <c r="P444" s="49"/>
      <c r="Q444" s="49"/>
      <c r="R444" s="49"/>
      <c r="S444" s="49"/>
      <c r="T444" s="41"/>
      <c r="U444" s="42"/>
      <c r="V444" s="42">
        <v>1196000</v>
      </c>
      <c r="W444" s="42"/>
      <c r="X444" s="42"/>
      <c r="Y444" s="42"/>
      <c r="Z444" s="42"/>
      <c r="AA444" s="127">
        <f t="shared" si="6"/>
        <v>1196000</v>
      </c>
      <c r="AB444" s="43" t="s">
        <v>354</v>
      </c>
    </row>
    <row r="445" spans="1:28" ht="22.5">
      <c r="A445" s="38">
        <v>36094</v>
      </c>
      <c r="B445" s="39" t="s">
        <v>904</v>
      </c>
      <c r="C445" s="40" t="s">
        <v>353</v>
      </c>
      <c r="D445" s="40" t="s">
        <v>821</v>
      </c>
      <c r="E445" s="48"/>
      <c r="F445" s="48"/>
      <c r="G445" s="48"/>
      <c r="H445" s="48">
        <f>240*5</f>
        <v>1200</v>
      </c>
      <c r="I445" s="48">
        <v>240</v>
      </c>
      <c r="J445" s="48"/>
      <c r="K445" s="49"/>
      <c r="L445" s="49"/>
      <c r="M445" s="49"/>
      <c r="N445" s="49"/>
      <c r="O445" s="49"/>
      <c r="P445" s="49"/>
      <c r="Q445" s="49"/>
      <c r="R445" s="49"/>
      <c r="S445" s="49"/>
      <c r="T445" s="41"/>
      <c r="U445" s="42"/>
      <c r="V445" s="42">
        <v>1426000</v>
      </c>
      <c r="W445" s="42"/>
      <c r="X445" s="42"/>
      <c r="Y445" s="42"/>
      <c r="Z445" s="42"/>
      <c r="AA445" s="127">
        <f t="shared" si="6"/>
        <v>1426000</v>
      </c>
      <c r="AB445" s="43" t="s">
        <v>354</v>
      </c>
    </row>
    <row r="446" spans="1:28" ht="24.75">
      <c r="A446" s="38">
        <v>36094</v>
      </c>
      <c r="B446" s="39" t="s">
        <v>49</v>
      </c>
      <c r="C446" s="40" t="s">
        <v>440</v>
      </c>
      <c r="D446" s="40" t="s">
        <v>821</v>
      </c>
      <c r="E446" s="48"/>
      <c r="F446" s="48"/>
      <c r="G446" s="48"/>
      <c r="H446" s="48"/>
      <c r="I446" s="48"/>
      <c r="J446" s="48"/>
      <c r="K446" s="49"/>
      <c r="L446" s="49">
        <v>1</v>
      </c>
      <c r="M446" s="49"/>
      <c r="N446" s="49"/>
      <c r="O446" s="49"/>
      <c r="P446" s="49"/>
      <c r="Q446" s="49"/>
      <c r="R446" s="49"/>
      <c r="S446" s="49"/>
      <c r="T446" s="41"/>
      <c r="U446" s="42"/>
      <c r="V446" s="42"/>
      <c r="W446" s="42"/>
      <c r="X446" s="42"/>
      <c r="Y446" s="42"/>
      <c r="Z446" s="42"/>
      <c r="AA446" s="127">
        <f t="shared" si="6"/>
        <v>0</v>
      </c>
      <c r="AB446" s="43" t="s">
        <v>441</v>
      </c>
    </row>
    <row r="447" spans="1:28" ht="24.75">
      <c r="A447" s="38">
        <v>36095</v>
      </c>
      <c r="B447" s="39" t="s">
        <v>820</v>
      </c>
      <c r="C447" s="40" t="s">
        <v>616</v>
      </c>
      <c r="D447" s="40" t="s">
        <v>821</v>
      </c>
      <c r="E447" s="48"/>
      <c r="F447" s="48"/>
      <c r="G447" s="48"/>
      <c r="H447" s="48"/>
      <c r="I447" s="48"/>
      <c r="J447" s="48"/>
      <c r="K447" s="49"/>
      <c r="L447" s="49"/>
      <c r="M447" s="49"/>
      <c r="N447" s="49"/>
      <c r="O447" s="49"/>
      <c r="P447" s="49"/>
      <c r="Q447" s="49"/>
      <c r="R447" s="49"/>
      <c r="S447" s="49"/>
      <c r="T447" s="41"/>
      <c r="U447" s="42"/>
      <c r="V447" s="42"/>
      <c r="W447" s="42"/>
      <c r="X447" s="42"/>
      <c r="Y447" s="42"/>
      <c r="Z447" s="42"/>
      <c r="AA447" s="127">
        <f t="shared" si="6"/>
        <v>0</v>
      </c>
      <c r="AB447" s="43" t="s">
        <v>617</v>
      </c>
    </row>
    <row r="448" spans="1:28" ht="33">
      <c r="A448" s="38">
        <v>36095</v>
      </c>
      <c r="B448" s="39" t="s">
        <v>100</v>
      </c>
      <c r="C448" s="40" t="s">
        <v>350</v>
      </c>
      <c r="D448" s="40" t="s">
        <v>891</v>
      </c>
      <c r="E448" s="48">
        <v>5</v>
      </c>
      <c r="F448" s="48"/>
      <c r="G448" s="48"/>
      <c r="H448" s="48"/>
      <c r="I448" s="48"/>
      <c r="J448" s="48"/>
      <c r="K448" s="49"/>
      <c r="L448" s="49">
        <v>1</v>
      </c>
      <c r="M448" s="49"/>
      <c r="N448" s="49"/>
      <c r="O448" s="49"/>
      <c r="P448" s="49"/>
      <c r="Q448" s="49"/>
      <c r="R448" s="49"/>
      <c r="S448" s="49"/>
      <c r="T448" s="41"/>
      <c r="U448" s="42"/>
      <c r="V448" s="42"/>
      <c r="W448" s="42"/>
      <c r="X448" s="42"/>
      <c r="Y448" s="42"/>
      <c r="Z448" s="42"/>
      <c r="AA448" s="127">
        <f t="shared" si="6"/>
        <v>0</v>
      </c>
      <c r="AB448" s="43" t="s">
        <v>719</v>
      </c>
    </row>
    <row r="449" spans="1:28" ht="12.75">
      <c r="A449" s="38">
        <v>36096</v>
      </c>
      <c r="B449" s="39" t="s">
        <v>820</v>
      </c>
      <c r="C449" s="40" t="s">
        <v>618</v>
      </c>
      <c r="D449" s="40" t="s">
        <v>707</v>
      </c>
      <c r="E449" s="48"/>
      <c r="F449" s="48">
        <v>3</v>
      </c>
      <c r="G449" s="48"/>
      <c r="H449" s="48">
        <f>30*5</f>
        <v>150</v>
      </c>
      <c r="I449" s="48">
        <v>30</v>
      </c>
      <c r="J449" s="48">
        <v>3</v>
      </c>
      <c r="K449" s="49">
        <v>1</v>
      </c>
      <c r="L449" s="49">
        <v>2</v>
      </c>
      <c r="M449" s="49"/>
      <c r="N449" s="49"/>
      <c r="O449" s="49"/>
      <c r="P449" s="49"/>
      <c r="Q449" s="49"/>
      <c r="R449" s="49"/>
      <c r="S449" s="49"/>
      <c r="T449" s="41"/>
      <c r="U449" s="42"/>
      <c r="V449" s="42"/>
      <c r="W449" s="42"/>
      <c r="X449" s="42"/>
      <c r="Y449" s="42"/>
      <c r="Z449" s="42"/>
      <c r="AA449" s="127">
        <f t="shared" si="6"/>
        <v>0</v>
      </c>
      <c r="AB449" s="43" t="s">
        <v>619</v>
      </c>
    </row>
    <row r="450" spans="1:28" ht="49.5">
      <c r="A450" s="38">
        <v>36096</v>
      </c>
      <c r="B450" s="39" t="s">
        <v>829</v>
      </c>
      <c r="C450" s="40" t="s">
        <v>680</v>
      </c>
      <c r="D450" s="40" t="s">
        <v>107</v>
      </c>
      <c r="E450" s="48"/>
      <c r="F450" s="48"/>
      <c r="G450" s="48"/>
      <c r="H450" s="48">
        <v>30</v>
      </c>
      <c r="I450" s="48">
        <v>6</v>
      </c>
      <c r="J450" s="48">
        <v>2</v>
      </c>
      <c r="K450" s="49">
        <v>4</v>
      </c>
      <c r="L450" s="49"/>
      <c r="M450" s="49">
        <v>7</v>
      </c>
      <c r="N450" s="49"/>
      <c r="O450" s="49"/>
      <c r="P450" s="49"/>
      <c r="Q450" s="49"/>
      <c r="R450" s="49"/>
      <c r="S450" s="49"/>
      <c r="T450" s="41" t="s">
        <v>681</v>
      </c>
      <c r="U450" s="42"/>
      <c r="V450" s="42"/>
      <c r="W450" s="42"/>
      <c r="X450" s="42"/>
      <c r="Y450" s="42"/>
      <c r="Z450" s="42"/>
      <c r="AA450" s="127">
        <f t="shared" si="6"/>
        <v>0</v>
      </c>
      <c r="AB450" s="43" t="s">
        <v>682</v>
      </c>
    </row>
    <row r="451" spans="1:28" ht="16.5">
      <c r="A451" s="38">
        <v>36097</v>
      </c>
      <c r="B451" s="39" t="s">
        <v>820</v>
      </c>
      <c r="C451" s="40" t="s">
        <v>730</v>
      </c>
      <c r="D451" s="40" t="s">
        <v>891</v>
      </c>
      <c r="E451" s="48"/>
      <c r="F451" s="48"/>
      <c r="G451" s="48"/>
      <c r="H451" s="48"/>
      <c r="I451" s="48"/>
      <c r="J451" s="48"/>
      <c r="K451" s="49"/>
      <c r="L451" s="49">
        <v>1</v>
      </c>
      <c r="M451" s="49">
        <v>1</v>
      </c>
      <c r="N451" s="49"/>
      <c r="O451" s="49"/>
      <c r="P451" s="49"/>
      <c r="Q451" s="49"/>
      <c r="R451" s="49"/>
      <c r="S451" s="49"/>
      <c r="T451" s="41"/>
      <c r="U451" s="42"/>
      <c r="V451" s="42"/>
      <c r="W451" s="42"/>
      <c r="X451" s="42"/>
      <c r="Y451" s="42"/>
      <c r="Z451" s="42"/>
      <c r="AA451" s="127">
        <f t="shared" si="6"/>
        <v>0</v>
      </c>
      <c r="AB451" s="43" t="s">
        <v>620</v>
      </c>
    </row>
    <row r="452" spans="1:28" ht="12.75">
      <c r="A452" s="38">
        <v>36097</v>
      </c>
      <c r="B452" s="39" t="s">
        <v>129</v>
      </c>
      <c r="C452" s="40" t="s">
        <v>257</v>
      </c>
      <c r="D452" s="40" t="s">
        <v>911</v>
      </c>
      <c r="E452" s="48"/>
      <c r="F452" s="48"/>
      <c r="G452" s="48"/>
      <c r="H452" s="48">
        <v>91</v>
      </c>
      <c r="I452" s="48">
        <v>20</v>
      </c>
      <c r="J452" s="48"/>
      <c r="K452" s="49">
        <v>20</v>
      </c>
      <c r="L452" s="49"/>
      <c r="M452" s="49"/>
      <c r="N452" s="49"/>
      <c r="O452" s="49"/>
      <c r="P452" s="49"/>
      <c r="Q452" s="49"/>
      <c r="R452" s="49"/>
      <c r="S452" s="49"/>
      <c r="T452" s="41"/>
      <c r="U452" s="42">
        <v>3995497.8</v>
      </c>
      <c r="V452" s="42">
        <v>460000</v>
      </c>
      <c r="W452" s="42"/>
      <c r="X452" s="42"/>
      <c r="Y452" s="42"/>
      <c r="Z452" s="42"/>
      <c r="AA452" s="127">
        <f aca="true" t="shared" si="7" ref="AA452:AA515">+U452+V452+W452+X452+Y452+Z452</f>
        <v>4455497.8</v>
      </c>
      <c r="AB452" s="43" t="s">
        <v>625</v>
      </c>
    </row>
    <row r="453" spans="1:28" ht="12.75">
      <c r="A453" s="38">
        <v>36098</v>
      </c>
      <c r="B453" s="39" t="s">
        <v>203</v>
      </c>
      <c r="C453" s="40" t="s">
        <v>443</v>
      </c>
      <c r="D453" s="40" t="s">
        <v>891</v>
      </c>
      <c r="E453" s="48"/>
      <c r="F453" s="48"/>
      <c r="G453" s="48"/>
      <c r="H453" s="48"/>
      <c r="I453" s="48"/>
      <c r="J453" s="48"/>
      <c r="K453" s="49"/>
      <c r="L453" s="49">
        <v>2</v>
      </c>
      <c r="M453" s="49">
        <v>1</v>
      </c>
      <c r="N453" s="49"/>
      <c r="O453" s="49"/>
      <c r="P453" s="49"/>
      <c r="Q453" s="49"/>
      <c r="R453" s="49"/>
      <c r="S453" s="49"/>
      <c r="T453" s="41"/>
      <c r="U453" s="42"/>
      <c r="V453" s="42"/>
      <c r="W453" s="42"/>
      <c r="X453" s="42"/>
      <c r="Y453" s="42"/>
      <c r="Z453" s="42"/>
      <c r="AA453" s="127">
        <f t="shared" si="7"/>
        <v>0</v>
      </c>
      <c r="AB453" s="43"/>
    </row>
    <row r="454" spans="1:28" ht="12.75">
      <c r="A454" s="38">
        <v>36098</v>
      </c>
      <c r="B454" s="39" t="s">
        <v>203</v>
      </c>
      <c r="C454" s="40" t="s">
        <v>442</v>
      </c>
      <c r="D454" s="40" t="s">
        <v>821</v>
      </c>
      <c r="E454" s="48"/>
      <c r="F454" s="48"/>
      <c r="G454" s="48"/>
      <c r="H454" s="48">
        <v>260</v>
      </c>
      <c r="I454" s="48">
        <v>53</v>
      </c>
      <c r="J454" s="48"/>
      <c r="K454" s="49">
        <v>15</v>
      </c>
      <c r="L454" s="49">
        <v>10</v>
      </c>
      <c r="M454" s="49">
        <v>2</v>
      </c>
      <c r="N454" s="49"/>
      <c r="O454" s="49"/>
      <c r="P454" s="49"/>
      <c r="Q454" s="49"/>
      <c r="R454" s="49"/>
      <c r="S454" s="49"/>
      <c r="T454" s="41" t="s">
        <v>94</v>
      </c>
      <c r="U454" s="42">
        <v>4197147.1</v>
      </c>
      <c r="V454" s="42">
        <v>1219000</v>
      </c>
      <c r="W454" s="42"/>
      <c r="X454" s="42"/>
      <c r="Y454" s="42"/>
      <c r="Z454" s="42"/>
      <c r="AA454" s="127">
        <f t="shared" si="7"/>
        <v>5416147.1</v>
      </c>
      <c r="AB454" s="43"/>
    </row>
    <row r="455" spans="1:28" ht="12.75">
      <c r="A455" s="38">
        <v>36098</v>
      </c>
      <c r="B455" s="39" t="s">
        <v>203</v>
      </c>
      <c r="C455" s="40" t="s">
        <v>444</v>
      </c>
      <c r="D455" s="40" t="s">
        <v>821</v>
      </c>
      <c r="E455" s="48"/>
      <c r="F455" s="48"/>
      <c r="G455" s="48"/>
      <c r="H455" s="48">
        <v>435</v>
      </c>
      <c r="I455" s="48">
        <v>87</v>
      </c>
      <c r="J455" s="48"/>
      <c r="K455" s="49"/>
      <c r="L455" s="49"/>
      <c r="M455" s="49"/>
      <c r="N455" s="49"/>
      <c r="O455" s="49"/>
      <c r="P455" s="49"/>
      <c r="Q455" s="49"/>
      <c r="R455" s="49"/>
      <c r="S455" s="49"/>
      <c r="T455" s="41" t="s">
        <v>94</v>
      </c>
      <c r="U455" s="42">
        <v>6593294.1</v>
      </c>
      <c r="V455" s="42">
        <v>2001000</v>
      </c>
      <c r="W455" s="42"/>
      <c r="X455" s="42"/>
      <c r="Y455" s="42"/>
      <c r="Z455" s="42"/>
      <c r="AA455" s="127">
        <f t="shared" si="7"/>
        <v>8594294.1</v>
      </c>
      <c r="AB455" s="43"/>
    </row>
    <row r="456" spans="1:28" ht="12.75">
      <c r="A456" s="38">
        <v>36099</v>
      </c>
      <c r="B456" s="39" t="s">
        <v>820</v>
      </c>
      <c r="C456" s="40" t="s">
        <v>179</v>
      </c>
      <c r="D456" s="40" t="s">
        <v>821</v>
      </c>
      <c r="E456" s="48"/>
      <c r="F456" s="48"/>
      <c r="G456" s="48"/>
      <c r="H456" s="48">
        <v>191</v>
      </c>
      <c r="I456" s="48">
        <v>43</v>
      </c>
      <c r="J456" s="48">
        <v>4</v>
      </c>
      <c r="K456" s="49">
        <v>26</v>
      </c>
      <c r="L456" s="49">
        <v>1</v>
      </c>
      <c r="M456" s="49">
        <v>1</v>
      </c>
      <c r="N456" s="49"/>
      <c r="O456" s="49">
        <v>1</v>
      </c>
      <c r="P456" s="49"/>
      <c r="Q456" s="49"/>
      <c r="R456" s="49"/>
      <c r="S456" s="49"/>
      <c r="T456" s="41"/>
      <c r="U456" s="42"/>
      <c r="V456" s="42">
        <v>644000</v>
      </c>
      <c r="W456" s="42"/>
      <c r="X456" s="42"/>
      <c r="Y456" s="42"/>
      <c r="Z456" s="42"/>
      <c r="AA456" s="127">
        <f t="shared" si="7"/>
        <v>644000</v>
      </c>
      <c r="AB456" s="43" t="s">
        <v>445</v>
      </c>
    </row>
    <row r="457" spans="1:28" ht="24.75">
      <c r="A457" s="38">
        <v>36099</v>
      </c>
      <c r="B457" s="39" t="s">
        <v>195</v>
      </c>
      <c r="C457" s="40" t="s">
        <v>709</v>
      </c>
      <c r="D457" s="40" t="s">
        <v>879</v>
      </c>
      <c r="E457" s="48"/>
      <c r="F457" s="48"/>
      <c r="G457" s="48"/>
      <c r="H457" s="48">
        <v>44</v>
      </c>
      <c r="I457" s="48">
        <v>10</v>
      </c>
      <c r="J457" s="48">
        <v>2</v>
      </c>
      <c r="K457" s="49"/>
      <c r="L457" s="49"/>
      <c r="M457" s="49"/>
      <c r="N457" s="49"/>
      <c r="O457" s="49"/>
      <c r="P457" s="49"/>
      <c r="Q457" s="49"/>
      <c r="R457" s="49"/>
      <c r="S457" s="49"/>
      <c r="T457" s="41"/>
      <c r="U457" s="42"/>
      <c r="V457" s="42"/>
      <c r="W457" s="42"/>
      <c r="X457" s="42"/>
      <c r="Y457" s="42"/>
      <c r="Z457" s="42"/>
      <c r="AA457" s="127">
        <f t="shared" si="7"/>
        <v>0</v>
      </c>
      <c r="AB457" s="43" t="s">
        <v>710</v>
      </c>
    </row>
    <row r="458" spans="1:28" ht="41.25">
      <c r="A458" s="38">
        <v>36102</v>
      </c>
      <c r="B458" s="39" t="s">
        <v>829</v>
      </c>
      <c r="C458" s="40" t="s">
        <v>3</v>
      </c>
      <c r="D458" s="40" t="s">
        <v>821</v>
      </c>
      <c r="E458" s="48"/>
      <c r="F458" s="48"/>
      <c r="G458" s="48"/>
      <c r="H458" s="48"/>
      <c r="I458" s="48"/>
      <c r="J458" s="48"/>
      <c r="K458" s="49"/>
      <c r="L458" s="49">
        <v>1</v>
      </c>
      <c r="M458" s="49"/>
      <c r="N458" s="49"/>
      <c r="O458" s="49"/>
      <c r="P458" s="49"/>
      <c r="Q458" s="49"/>
      <c r="R458" s="49"/>
      <c r="S458" s="49"/>
      <c r="T458" s="41"/>
      <c r="U458" s="42"/>
      <c r="V458" s="42"/>
      <c r="W458" s="42"/>
      <c r="X458" s="42"/>
      <c r="Y458" s="42"/>
      <c r="Z458" s="42"/>
      <c r="AA458" s="127">
        <f t="shared" si="7"/>
        <v>0</v>
      </c>
      <c r="AB458" s="43" t="s">
        <v>720</v>
      </c>
    </row>
    <row r="459" spans="1:29" ht="12.75">
      <c r="A459" s="38">
        <v>36102</v>
      </c>
      <c r="B459" s="39" t="s">
        <v>366</v>
      </c>
      <c r="C459" s="40" t="s">
        <v>367</v>
      </c>
      <c r="D459" s="40" t="s">
        <v>911</v>
      </c>
      <c r="E459" s="48"/>
      <c r="F459" s="48">
        <v>3</v>
      </c>
      <c r="G459" s="48"/>
      <c r="H459" s="48">
        <v>154</v>
      </c>
      <c r="I459" s="48">
        <v>30</v>
      </c>
      <c r="J459" s="48">
        <v>3</v>
      </c>
      <c r="K459" s="49"/>
      <c r="L459" s="49"/>
      <c r="M459" s="49"/>
      <c r="N459" s="49"/>
      <c r="O459" s="49"/>
      <c r="P459" s="49"/>
      <c r="Q459" s="49"/>
      <c r="R459" s="49">
        <v>1</v>
      </c>
      <c r="S459" s="49">
        <v>1</v>
      </c>
      <c r="T459" s="41" t="s">
        <v>885</v>
      </c>
      <c r="U459" s="42">
        <v>5748866.7</v>
      </c>
      <c r="V459" s="42">
        <v>690000</v>
      </c>
      <c r="W459" s="42"/>
      <c r="X459" s="42"/>
      <c r="Y459" s="42"/>
      <c r="Z459" s="42"/>
      <c r="AA459" s="127">
        <f t="shared" si="7"/>
        <v>6438866.7</v>
      </c>
      <c r="AB459" s="43" t="s">
        <v>886</v>
      </c>
      <c r="AC459" s="4" t="s">
        <v>594</v>
      </c>
    </row>
    <row r="460" spans="1:29" ht="12.75">
      <c r="A460" s="38">
        <v>36103</v>
      </c>
      <c r="B460" s="39" t="s">
        <v>59</v>
      </c>
      <c r="C460" s="40" t="s">
        <v>505</v>
      </c>
      <c r="D460" s="40" t="s">
        <v>821</v>
      </c>
      <c r="E460" s="48"/>
      <c r="F460" s="48"/>
      <c r="G460" s="48"/>
      <c r="H460" s="48"/>
      <c r="I460" s="48"/>
      <c r="J460" s="48"/>
      <c r="K460" s="49"/>
      <c r="L460" s="49">
        <v>1</v>
      </c>
      <c r="M460" s="49"/>
      <c r="N460" s="49"/>
      <c r="O460" s="49"/>
      <c r="P460" s="49"/>
      <c r="Q460" s="49"/>
      <c r="R460" s="49"/>
      <c r="S460" s="49"/>
      <c r="T460" s="41"/>
      <c r="U460" s="42"/>
      <c r="V460" s="42"/>
      <c r="W460" s="42"/>
      <c r="X460" s="42">
        <v>4408000</v>
      </c>
      <c r="Y460" s="42"/>
      <c r="Z460" s="42"/>
      <c r="AA460" s="127">
        <f t="shared" si="7"/>
        <v>4408000</v>
      </c>
      <c r="AB460" s="43" t="s">
        <v>355</v>
      </c>
      <c r="AC460" s="4" t="s">
        <v>594</v>
      </c>
    </row>
    <row r="461" spans="1:29" ht="12.75">
      <c r="A461" s="38">
        <v>36103</v>
      </c>
      <c r="B461" s="39" t="s">
        <v>59</v>
      </c>
      <c r="C461" s="40" t="s">
        <v>356</v>
      </c>
      <c r="D461" s="40" t="s">
        <v>821</v>
      </c>
      <c r="E461" s="48"/>
      <c r="F461" s="48"/>
      <c r="G461" s="48"/>
      <c r="H461" s="48"/>
      <c r="I461" s="48"/>
      <c r="J461" s="48"/>
      <c r="K461" s="49"/>
      <c r="L461" s="49"/>
      <c r="M461" s="49"/>
      <c r="N461" s="49"/>
      <c r="O461" s="49"/>
      <c r="P461" s="49"/>
      <c r="Q461" s="49"/>
      <c r="R461" s="49"/>
      <c r="S461" s="49"/>
      <c r="T461" s="41"/>
      <c r="U461" s="42"/>
      <c r="V461" s="42"/>
      <c r="W461" s="42"/>
      <c r="X461" s="42">
        <v>440800</v>
      </c>
      <c r="Y461" s="42"/>
      <c r="Z461" s="42"/>
      <c r="AA461" s="127">
        <f t="shared" si="7"/>
        <v>440800</v>
      </c>
      <c r="AB461" s="43" t="s">
        <v>294</v>
      </c>
      <c r="AC461" s="4" t="s">
        <v>594</v>
      </c>
    </row>
    <row r="462" spans="1:28" ht="12.75">
      <c r="A462" s="38">
        <v>36103</v>
      </c>
      <c r="B462" s="39" t="s">
        <v>59</v>
      </c>
      <c r="C462" s="40" t="s">
        <v>357</v>
      </c>
      <c r="D462" s="40" t="s">
        <v>821</v>
      </c>
      <c r="E462" s="48"/>
      <c r="F462" s="48"/>
      <c r="G462" s="48"/>
      <c r="H462" s="48">
        <f>359*5</f>
        <v>1795</v>
      </c>
      <c r="I462" s="48">
        <f>89+31+51+33+50+105</f>
        <v>359</v>
      </c>
      <c r="J462" s="48"/>
      <c r="K462" s="49"/>
      <c r="L462" s="49"/>
      <c r="M462" s="49"/>
      <c r="N462" s="49"/>
      <c r="O462" s="49"/>
      <c r="P462" s="49"/>
      <c r="Q462" s="49"/>
      <c r="R462" s="49"/>
      <c r="S462" s="49"/>
      <c r="T462" s="41"/>
      <c r="U462" s="42"/>
      <c r="V462" s="42"/>
      <c r="W462" s="42"/>
      <c r="X462" s="42">
        <v>4408000</v>
      </c>
      <c r="Y462" s="42"/>
      <c r="Z462" s="42"/>
      <c r="AA462" s="127">
        <f t="shared" si="7"/>
        <v>4408000</v>
      </c>
      <c r="AB462" s="43" t="s">
        <v>360</v>
      </c>
    </row>
    <row r="463" spans="1:28" ht="12.75">
      <c r="A463" s="38">
        <v>36103</v>
      </c>
      <c r="B463" s="39" t="s">
        <v>59</v>
      </c>
      <c r="C463" s="40" t="s">
        <v>358</v>
      </c>
      <c r="D463" s="40" t="s">
        <v>821</v>
      </c>
      <c r="E463" s="48"/>
      <c r="F463" s="48"/>
      <c r="G463" s="48"/>
      <c r="H463" s="48"/>
      <c r="I463" s="48"/>
      <c r="J463" s="48"/>
      <c r="K463" s="49"/>
      <c r="L463" s="49"/>
      <c r="M463" s="49"/>
      <c r="N463" s="49"/>
      <c r="O463" s="49"/>
      <c r="P463" s="49"/>
      <c r="Q463" s="49"/>
      <c r="R463" s="49"/>
      <c r="S463" s="49"/>
      <c r="T463" s="41"/>
      <c r="U463" s="42"/>
      <c r="V463" s="42"/>
      <c r="W463" s="42"/>
      <c r="X463" s="42">
        <v>881600</v>
      </c>
      <c r="Y463" s="42"/>
      <c r="Z463" s="42"/>
      <c r="AA463" s="127">
        <f t="shared" si="7"/>
        <v>881600</v>
      </c>
      <c r="AB463" s="43" t="s">
        <v>294</v>
      </c>
    </row>
    <row r="464" spans="1:28" ht="12.75">
      <c r="A464" s="38">
        <v>36103</v>
      </c>
      <c r="B464" s="39" t="s">
        <v>59</v>
      </c>
      <c r="C464" s="40" t="s">
        <v>359</v>
      </c>
      <c r="D464" s="40" t="s">
        <v>821</v>
      </c>
      <c r="E464" s="48"/>
      <c r="F464" s="48"/>
      <c r="G464" s="48"/>
      <c r="H464" s="48">
        <f>183*5</f>
        <v>915</v>
      </c>
      <c r="I464" s="48">
        <f>82+30+15+26+11+19</f>
        <v>183</v>
      </c>
      <c r="J464" s="48"/>
      <c r="K464" s="49"/>
      <c r="L464" s="49"/>
      <c r="M464" s="49"/>
      <c r="N464" s="49"/>
      <c r="O464" s="49"/>
      <c r="P464" s="49"/>
      <c r="Q464" s="49"/>
      <c r="R464" s="49"/>
      <c r="S464" s="49"/>
      <c r="T464" s="41"/>
      <c r="U464" s="42"/>
      <c r="V464" s="42"/>
      <c r="W464" s="42"/>
      <c r="X464" s="42">
        <v>1322400</v>
      </c>
      <c r="Y464" s="42"/>
      <c r="Z464" s="42"/>
      <c r="AA464" s="127">
        <f t="shared" si="7"/>
        <v>1322400</v>
      </c>
      <c r="AB464" s="43" t="s">
        <v>361</v>
      </c>
    </row>
    <row r="465" spans="1:28" ht="24.75">
      <c r="A465" s="38">
        <v>36103</v>
      </c>
      <c r="B465" s="39" t="s">
        <v>574</v>
      </c>
      <c r="C465" s="40" t="s">
        <v>575</v>
      </c>
      <c r="D465" s="40" t="s">
        <v>887</v>
      </c>
      <c r="E465" s="48"/>
      <c r="F465" s="48"/>
      <c r="G465" s="48"/>
      <c r="H465" s="48"/>
      <c r="I465" s="48"/>
      <c r="J465" s="48"/>
      <c r="K465" s="49"/>
      <c r="L465" s="49"/>
      <c r="M465" s="49"/>
      <c r="N465" s="49"/>
      <c r="O465" s="49"/>
      <c r="P465" s="49"/>
      <c r="Q465" s="49"/>
      <c r="R465" s="49"/>
      <c r="S465" s="49"/>
      <c r="T465" s="41"/>
      <c r="U465" s="42"/>
      <c r="V465" s="42"/>
      <c r="W465" s="42"/>
      <c r="X465" s="42"/>
      <c r="Y465" s="42"/>
      <c r="Z465" s="42"/>
      <c r="AA465" s="127">
        <f t="shared" si="7"/>
        <v>0</v>
      </c>
      <c r="AB465" s="43" t="s">
        <v>624</v>
      </c>
    </row>
    <row r="466" spans="1:28" ht="24.75">
      <c r="A466" s="38">
        <v>36104</v>
      </c>
      <c r="B466" s="39" t="s">
        <v>59</v>
      </c>
      <c r="C466" s="40" t="s">
        <v>752</v>
      </c>
      <c r="D466" s="40" t="s">
        <v>891</v>
      </c>
      <c r="E466" s="48"/>
      <c r="F466" s="48"/>
      <c r="G466" s="48"/>
      <c r="H466" s="48">
        <v>600</v>
      </c>
      <c r="I466" s="48">
        <v>79</v>
      </c>
      <c r="J466" s="48"/>
      <c r="K466" s="49">
        <v>79</v>
      </c>
      <c r="L466" s="49"/>
      <c r="M466" s="49"/>
      <c r="N466" s="49"/>
      <c r="O466" s="49"/>
      <c r="P466" s="49"/>
      <c r="Q466" s="49"/>
      <c r="R466" s="49"/>
      <c r="S466" s="49"/>
      <c r="T466" s="41"/>
      <c r="U466" s="42"/>
      <c r="V466" s="42"/>
      <c r="W466" s="42"/>
      <c r="X466" s="42"/>
      <c r="Y466" s="42"/>
      <c r="Z466" s="42"/>
      <c r="AA466" s="127">
        <f t="shared" si="7"/>
        <v>0</v>
      </c>
      <c r="AB466" s="43" t="s">
        <v>753</v>
      </c>
    </row>
    <row r="467" spans="1:28" ht="12.75">
      <c r="A467" s="38">
        <v>36104</v>
      </c>
      <c r="B467" s="39" t="s">
        <v>59</v>
      </c>
      <c r="C467" s="40" t="s">
        <v>675</v>
      </c>
      <c r="D467" s="40" t="s">
        <v>821</v>
      </c>
      <c r="E467" s="48"/>
      <c r="F467" s="48"/>
      <c r="G467" s="48"/>
      <c r="H467" s="48"/>
      <c r="I467" s="48"/>
      <c r="J467" s="48"/>
      <c r="K467" s="49"/>
      <c r="L467" s="49"/>
      <c r="M467" s="49"/>
      <c r="N467" s="49"/>
      <c r="O467" s="49"/>
      <c r="P467" s="49"/>
      <c r="Q467" s="49"/>
      <c r="R467" s="49"/>
      <c r="S467" s="49"/>
      <c r="T467" s="41"/>
      <c r="U467" s="42"/>
      <c r="V467" s="42"/>
      <c r="W467" s="42"/>
      <c r="X467" s="42">
        <v>2204000</v>
      </c>
      <c r="Y467" s="42"/>
      <c r="Z467" s="42"/>
      <c r="AA467" s="127">
        <f t="shared" si="7"/>
        <v>2204000</v>
      </c>
      <c r="AB467" s="43"/>
    </row>
    <row r="468" spans="1:28" ht="12.75">
      <c r="A468" s="38">
        <v>36104</v>
      </c>
      <c r="B468" s="39" t="s">
        <v>13</v>
      </c>
      <c r="C468" s="40" t="s">
        <v>273</v>
      </c>
      <c r="D468" s="40" t="s">
        <v>821</v>
      </c>
      <c r="E468" s="48"/>
      <c r="F468" s="48"/>
      <c r="G468" s="48"/>
      <c r="H468" s="48">
        <f>76*5</f>
        <v>380</v>
      </c>
      <c r="I468" s="48">
        <v>76</v>
      </c>
      <c r="J468" s="48"/>
      <c r="K468" s="49"/>
      <c r="L468" s="49"/>
      <c r="M468" s="49"/>
      <c r="N468" s="49"/>
      <c r="O468" s="49"/>
      <c r="P468" s="49"/>
      <c r="Q468" s="49"/>
      <c r="R468" s="49"/>
      <c r="S468" s="49"/>
      <c r="T468" s="41"/>
      <c r="U468" s="42">
        <v>8243598</v>
      </c>
      <c r="V468" s="42">
        <v>1579136</v>
      </c>
      <c r="W468" s="42"/>
      <c r="X468" s="42"/>
      <c r="Y468" s="42"/>
      <c r="Z468" s="42"/>
      <c r="AA468" s="127">
        <f t="shared" si="7"/>
        <v>9822734</v>
      </c>
      <c r="AB468" s="43"/>
    </row>
    <row r="469" spans="1:28" ht="12.75">
      <c r="A469" s="38">
        <v>36105</v>
      </c>
      <c r="B469" s="39" t="s">
        <v>59</v>
      </c>
      <c r="C469" s="40" t="s">
        <v>214</v>
      </c>
      <c r="D469" s="40" t="s">
        <v>821</v>
      </c>
      <c r="E469" s="48"/>
      <c r="F469" s="48"/>
      <c r="G469" s="48"/>
      <c r="H469" s="48"/>
      <c r="I469" s="48"/>
      <c r="J469" s="48"/>
      <c r="K469" s="49"/>
      <c r="L469" s="49"/>
      <c r="M469" s="49"/>
      <c r="N469" s="49"/>
      <c r="O469" s="49"/>
      <c r="P469" s="49"/>
      <c r="Q469" s="49"/>
      <c r="R469" s="49"/>
      <c r="S469" s="49"/>
      <c r="T469" s="41"/>
      <c r="U469" s="42"/>
      <c r="V469" s="42"/>
      <c r="W469" s="42"/>
      <c r="X469" s="42">
        <v>1322400</v>
      </c>
      <c r="Y469" s="42"/>
      <c r="Z469" s="42"/>
      <c r="AA469" s="127">
        <f t="shared" si="7"/>
        <v>1322400</v>
      </c>
      <c r="AB469" s="43"/>
    </row>
    <row r="470" spans="1:28" ht="12.75">
      <c r="A470" s="38">
        <v>36105</v>
      </c>
      <c r="B470" s="39" t="s">
        <v>59</v>
      </c>
      <c r="C470" s="40" t="s">
        <v>211</v>
      </c>
      <c r="D470" s="40" t="s">
        <v>821</v>
      </c>
      <c r="E470" s="48"/>
      <c r="F470" s="48"/>
      <c r="G470" s="48"/>
      <c r="H470" s="48"/>
      <c r="I470" s="48"/>
      <c r="J470" s="48"/>
      <c r="K470" s="49"/>
      <c r="L470" s="49"/>
      <c r="M470" s="49"/>
      <c r="N470" s="49"/>
      <c r="O470" s="49"/>
      <c r="P470" s="49"/>
      <c r="Q470" s="49"/>
      <c r="R470" s="49"/>
      <c r="S470" s="49"/>
      <c r="T470" s="41"/>
      <c r="U470" s="42"/>
      <c r="V470" s="42"/>
      <c r="W470" s="42"/>
      <c r="X470" s="42">
        <v>2204000</v>
      </c>
      <c r="Y470" s="42"/>
      <c r="Z470" s="42"/>
      <c r="AA470" s="127">
        <f t="shared" si="7"/>
        <v>2204000</v>
      </c>
      <c r="AB470" s="43"/>
    </row>
    <row r="471" spans="1:28" ht="16.5">
      <c r="A471" s="38">
        <v>36105</v>
      </c>
      <c r="B471" s="39" t="s">
        <v>13</v>
      </c>
      <c r="C471" s="40" t="s">
        <v>458</v>
      </c>
      <c r="D471" s="40" t="s">
        <v>821</v>
      </c>
      <c r="E471" s="48"/>
      <c r="F471" s="48"/>
      <c r="G471" s="48"/>
      <c r="H471" s="48">
        <v>300</v>
      </c>
      <c r="I471" s="48">
        <v>40</v>
      </c>
      <c r="J471" s="48"/>
      <c r="K471" s="49"/>
      <c r="L471" s="49"/>
      <c r="M471" s="49"/>
      <c r="N471" s="49"/>
      <c r="O471" s="49"/>
      <c r="P471" s="49"/>
      <c r="Q471" s="49"/>
      <c r="R471" s="49"/>
      <c r="S471" s="49"/>
      <c r="T471" s="41"/>
      <c r="U471" s="42">
        <v>1155459.84</v>
      </c>
      <c r="V471" s="42">
        <v>865280</v>
      </c>
      <c r="W471" s="42"/>
      <c r="X471" s="42"/>
      <c r="Y471" s="42"/>
      <c r="Z471" s="42"/>
      <c r="AA471" s="127">
        <f t="shared" si="7"/>
        <v>2020739.84</v>
      </c>
      <c r="AB471" s="43" t="s">
        <v>329</v>
      </c>
    </row>
    <row r="472" spans="1:28" ht="12.75">
      <c r="A472" s="38">
        <v>36105</v>
      </c>
      <c r="B472" s="39" t="s">
        <v>899</v>
      </c>
      <c r="C472" s="40" t="s">
        <v>805</v>
      </c>
      <c r="D472" s="40" t="s">
        <v>821</v>
      </c>
      <c r="E472" s="48"/>
      <c r="F472" s="48"/>
      <c r="G472" s="48"/>
      <c r="H472" s="48"/>
      <c r="I472" s="48"/>
      <c r="J472" s="48"/>
      <c r="K472" s="49"/>
      <c r="L472" s="49"/>
      <c r="M472" s="49"/>
      <c r="N472" s="49"/>
      <c r="O472" s="49"/>
      <c r="P472" s="49"/>
      <c r="Q472" s="49"/>
      <c r="R472" s="49"/>
      <c r="S472" s="49"/>
      <c r="T472" s="41"/>
      <c r="U472" s="42"/>
      <c r="V472" s="42"/>
      <c r="W472" s="42"/>
      <c r="X472" s="42">
        <v>1763200</v>
      </c>
      <c r="Y472" s="42"/>
      <c r="Z472" s="42">
        <v>5000000</v>
      </c>
      <c r="AA472" s="127">
        <f t="shared" si="7"/>
        <v>6763200</v>
      </c>
      <c r="AB472" s="43" t="s">
        <v>750</v>
      </c>
    </row>
    <row r="473" spans="1:28" ht="22.5">
      <c r="A473" s="38">
        <v>36105</v>
      </c>
      <c r="B473" s="39" t="s">
        <v>899</v>
      </c>
      <c r="C473" s="40" t="s">
        <v>375</v>
      </c>
      <c r="D473" s="40" t="s">
        <v>821</v>
      </c>
      <c r="E473" s="48"/>
      <c r="F473" s="48"/>
      <c r="G473" s="48"/>
      <c r="H473" s="48"/>
      <c r="I473" s="48"/>
      <c r="J473" s="48"/>
      <c r="K473" s="49"/>
      <c r="L473" s="49"/>
      <c r="M473" s="49"/>
      <c r="N473" s="49"/>
      <c r="O473" s="49"/>
      <c r="P473" s="49"/>
      <c r="Q473" s="49"/>
      <c r="R473" s="49"/>
      <c r="S473" s="49"/>
      <c r="T473" s="41"/>
      <c r="U473" s="42"/>
      <c r="V473" s="42"/>
      <c r="W473" s="42"/>
      <c r="X473" s="42">
        <v>2204000</v>
      </c>
      <c r="Y473" s="42"/>
      <c r="Z473" s="42"/>
      <c r="AA473" s="127">
        <f t="shared" si="7"/>
        <v>2204000</v>
      </c>
      <c r="AB473" s="43"/>
    </row>
    <row r="474" spans="1:28" ht="22.5">
      <c r="A474" s="38">
        <v>36105</v>
      </c>
      <c r="B474" s="39" t="s">
        <v>899</v>
      </c>
      <c r="C474" s="40" t="s">
        <v>377</v>
      </c>
      <c r="D474" s="40" t="s">
        <v>821</v>
      </c>
      <c r="E474" s="48"/>
      <c r="F474" s="48"/>
      <c r="G474" s="48"/>
      <c r="H474" s="48"/>
      <c r="I474" s="48"/>
      <c r="J474" s="48"/>
      <c r="K474" s="49"/>
      <c r="L474" s="49"/>
      <c r="M474" s="49"/>
      <c r="N474" s="49"/>
      <c r="O474" s="49"/>
      <c r="P474" s="49"/>
      <c r="Q474" s="49"/>
      <c r="R474" s="49"/>
      <c r="S474" s="49"/>
      <c r="T474" s="41"/>
      <c r="U474" s="42"/>
      <c r="V474" s="42"/>
      <c r="W474" s="42"/>
      <c r="X474" s="42">
        <v>2204000</v>
      </c>
      <c r="Y474" s="42"/>
      <c r="Z474" s="42"/>
      <c r="AA474" s="127">
        <f t="shared" si="7"/>
        <v>2204000</v>
      </c>
      <c r="AB474" s="43"/>
    </row>
    <row r="475" spans="1:28" ht="16.5">
      <c r="A475" s="38">
        <v>36106</v>
      </c>
      <c r="B475" s="39" t="s">
        <v>100</v>
      </c>
      <c r="C475" s="40" t="s">
        <v>613</v>
      </c>
      <c r="D475" s="40" t="s">
        <v>821</v>
      </c>
      <c r="E475" s="48"/>
      <c r="F475" s="48"/>
      <c r="G475" s="48"/>
      <c r="H475" s="48">
        <v>84</v>
      </c>
      <c r="I475" s="48">
        <v>14</v>
      </c>
      <c r="J475" s="48">
        <v>6</v>
      </c>
      <c r="K475" s="49">
        <v>8</v>
      </c>
      <c r="L475" s="49">
        <v>8</v>
      </c>
      <c r="M475" s="49"/>
      <c r="N475" s="49"/>
      <c r="O475" s="49">
        <v>1</v>
      </c>
      <c r="P475" s="49"/>
      <c r="Q475" s="49"/>
      <c r="R475" s="49"/>
      <c r="S475" s="49"/>
      <c r="T475" s="41"/>
      <c r="U475" s="42"/>
      <c r="V475" s="42"/>
      <c r="W475" s="42">
        <v>3416200</v>
      </c>
      <c r="X475" s="42"/>
      <c r="Y475" s="42"/>
      <c r="Z475" s="42">
        <v>2000000</v>
      </c>
      <c r="AA475" s="127">
        <f t="shared" si="7"/>
        <v>5416200</v>
      </c>
      <c r="AB475" s="43" t="s">
        <v>8</v>
      </c>
    </row>
    <row r="476" spans="1:28" ht="16.5">
      <c r="A476" s="38">
        <v>36108</v>
      </c>
      <c r="B476" s="39" t="s">
        <v>100</v>
      </c>
      <c r="C476" s="40" t="s">
        <v>189</v>
      </c>
      <c r="D476" s="40" t="s">
        <v>821</v>
      </c>
      <c r="E476" s="48"/>
      <c r="F476" s="48"/>
      <c r="G476" s="48">
        <f>16+19</f>
        <v>35</v>
      </c>
      <c r="H476" s="48">
        <f>720+570</f>
        <v>1290</v>
      </c>
      <c r="I476" s="48">
        <f>138+170</f>
        <v>308</v>
      </c>
      <c r="J476" s="48">
        <f>24+32</f>
        <v>56</v>
      </c>
      <c r="K476" s="49">
        <f>63+67</f>
        <v>130</v>
      </c>
      <c r="L476" s="49">
        <v>2</v>
      </c>
      <c r="M476" s="49">
        <v>1</v>
      </c>
      <c r="N476" s="49">
        <v>2</v>
      </c>
      <c r="O476" s="49">
        <v>3</v>
      </c>
      <c r="P476" s="49">
        <v>4</v>
      </c>
      <c r="Q476" s="49">
        <v>2</v>
      </c>
      <c r="R476" s="49"/>
      <c r="S476" s="49"/>
      <c r="T476" s="41" t="s">
        <v>94</v>
      </c>
      <c r="U476" s="42">
        <v>14670600</v>
      </c>
      <c r="V476" s="42">
        <v>2695160</v>
      </c>
      <c r="W476" s="42"/>
      <c r="X476" s="42"/>
      <c r="Y476" s="42"/>
      <c r="Z476" s="42"/>
      <c r="AA476" s="127">
        <f t="shared" si="7"/>
        <v>17365760</v>
      </c>
      <c r="AB476" s="43" t="s">
        <v>381</v>
      </c>
    </row>
    <row r="477" spans="1:28" ht="12.75">
      <c r="A477" s="38">
        <v>36109</v>
      </c>
      <c r="B477" s="39" t="s">
        <v>820</v>
      </c>
      <c r="C477" s="40" t="s">
        <v>908</v>
      </c>
      <c r="D477" s="40" t="s">
        <v>879</v>
      </c>
      <c r="E477" s="48"/>
      <c r="F477" s="48">
        <v>1</v>
      </c>
      <c r="G477" s="48"/>
      <c r="H477" s="48"/>
      <c r="I477" s="48"/>
      <c r="J477" s="48"/>
      <c r="K477" s="49"/>
      <c r="L477" s="49"/>
      <c r="M477" s="49"/>
      <c r="N477" s="49"/>
      <c r="O477" s="49"/>
      <c r="P477" s="49"/>
      <c r="Q477" s="49"/>
      <c r="R477" s="49"/>
      <c r="S477" s="49"/>
      <c r="T477" s="41"/>
      <c r="U477" s="42"/>
      <c r="V477" s="42"/>
      <c r="W477" s="42"/>
      <c r="X477" s="42"/>
      <c r="Y477" s="42"/>
      <c r="Z477" s="42"/>
      <c r="AA477" s="127">
        <f t="shared" si="7"/>
        <v>0</v>
      </c>
      <c r="AB477" s="43"/>
    </row>
    <row r="478" spans="1:28" ht="41.25">
      <c r="A478" s="38">
        <v>36109</v>
      </c>
      <c r="B478" s="39" t="s">
        <v>829</v>
      </c>
      <c r="C478" s="40" t="s">
        <v>915</v>
      </c>
      <c r="D478" s="40" t="s">
        <v>821</v>
      </c>
      <c r="E478" s="48"/>
      <c r="F478" s="48"/>
      <c r="G478" s="48"/>
      <c r="H478" s="48"/>
      <c r="I478" s="48"/>
      <c r="J478" s="48"/>
      <c r="K478" s="49"/>
      <c r="L478" s="49">
        <v>3</v>
      </c>
      <c r="M478" s="49"/>
      <c r="N478" s="49"/>
      <c r="O478" s="49"/>
      <c r="P478" s="49"/>
      <c r="Q478" s="49"/>
      <c r="R478" s="49"/>
      <c r="S478" s="49"/>
      <c r="T478" s="41" t="s">
        <v>621</v>
      </c>
      <c r="U478" s="42"/>
      <c r="V478" s="42"/>
      <c r="W478" s="42"/>
      <c r="X478" s="42"/>
      <c r="Y478" s="42"/>
      <c r="Z478" s="42"/>
      <c r="AA478" s="127">
        <f t="shared" si="7"/>
        <v>0</v>
      </c>
      <c r="AB478" s="43" t="s">
        <v>622</v>
      </c>
    </row>
    <row r="479" spans="1:28" ht="24.75">
      <c r="A479" s="38">
        <v>36109</v>
      </c>
      <c r="B479" s="39" t="s">
        <v>22</v>
      </c>
      <c r="C479" s="40" t="s">
        <v>239</v>
      </c>
      <c r="D479" s="40" t="s">
        <v>821</v>
      </c>
      <c r="E479" s="48"/>
      <c r="F479" s="48"/>
      <c r="G479" s="48"/>
      <c r="H479" s="48">
        <v>440</v>
      </c>
      <c r="I479" s="48">
        <v>146</v>
      </c>
      <c r="J479" s="48">
        <v>30</v>
      </c>
      <c r="K479" s="49"/>
      <c r="L479" s="49"/>
      <c r="M479" s="49"/>
      <c r="N479" s="49"/>
      <c r="O479" s="49"/>
      <c r="P479" s="49"/>
      <c r="Q479" s="49"/>
      <c r="R479" s="49"/>
      <c r="S479" s="49"/>
      <c r="T479" s="41"/>
      <c r="U479" s="42">
        <v>7319579.04</v>
      </c>
      <c r="V479" s="42">
        <v>3312000</v>
      </c>
      <c r="W479" s="42"/>
      <c r="X479" s="42"/>
      <c r="Y479" s="42"/>
      <c r="Z479" s="42"/>
      <c r="AA479" s="127">
        <f t="shared" si="7"/>
        <v>10631579.04</v>
      </c>
      <c r="AB479" s="43" t="s">
        <v>71</v>
      </c>
    </row>
    <row r="480" spans="1:28" ht="16.5">
      <c r="A480" s="38">
        <v>36109</v>
      </c>
      <c r="B480" s="39" t="s">
        <v>100</v>
      </c>
      <c r="C480" s="40" t="s">
        <v>73</v>
      </c>
      <c r="D480" s="40" t="s">
        <v>891</v>
      </c>
      <c r="E480" s="48"/>
      <c r="F480" s="48"/>
      <c r="G480" s="48"/>
      <c r="H480" s="48">
        <f>11*5</f>
        <v>55</v>
      </c>
      <c r="I480" s="48">
        <v>11</v>
      </c>
      <c r="J480" s="48"/>
      <c r="K480" s="49"/>
      <c r="L480" s="49"/>
      <c r="M480" s="49"/>
      <c r="N480" s="49"/>
      <c r="O480" s="49"/>
      <c r="P480" s="49"/>
      <c r="Q480" s="49"/>
      <c r="R480" s="49"/>
      <c r="S480" s="49"/>
      <c r="T480" s="41"/>
      <c r="U480" s="42"/>
      <c r="V480" s="42"/>
      <c r="W480" s="42"/>
      <c r="X480" s="42"/>
      <c r="Y480" s="42"/>
      <c r="Z480" s="42"/>
      <c r="AA480" s="127">
        <f t="shared" si="7"/>
        <v>0</v>
      </c>
      <c r="AB480" s="43" t="s">
        <v>74</v>
      </c>
    </row>
    <row r="481" spans="1:28" ht="12.75">
      <c r="A481" s="38">
        <v>36110</v>
      </c>
      <c r="B481" s="39" t="s">
        <v>13</v>
      </c>
      <c r="C481" s="40" t="s">
        <v>135</v>
      </c>
      <c r="D481" s="40" t="s">
        <v>821</v>
      </c>
      <c r="E481" s="48"/>
      <c r="F481" s="48"/>
      <c r="G481" s="48"/>
      <c r="H481" s="48">
        <f>328*5</f>
        <v>1640</v>
      </c>
      <c r="I481" s="48">
        <v>328</v>
      </c>
      <c r="J481" s="48"/>
      <c r="K481" s="49"/>
      <c r="L481" s="49"/>
      <c r="M481" s="49"/>
      <c r="N481" s="49"/>
      <c r="O481" s="49"/>
      <c r="P481" s="49"/>
      <c r="Q481" s="49"/>
      <c r="R481" s="49"/>
      <c r="S481" s="49"/>
      <c r="T481" s="41"/>
      <c r="U481" s="42"/>
      <c r="V481" s="42">
        <v>7544000</v>
      </c>
      <c r="W481" s="42">
        <v>13687999.999999998</v>
      </c>
      <c r="X481" s="42">
        <v>5730400</v>
      </c>
      <c r="Y481" s="42"/>
      <c r="Z481" s="42"/>
      <c r="AA481" s="127">
        <f t="shared" si="7"/>
        <v>26962400</v>
      </c>
      <c r="AB481" s="43" t="s">
        <v>914</v>
      </c>
    </row>
    <row r="482" spans="1:28" ht="24.75">
      <c r="A482" s="38">
        <v>36110</v>
      </c>
      <c r="B482" s="39" t="s">
        <v>877</v>
      </c>
      <c r="C482" s="40" t="s">
        <v>528</v>
      </c>
      <c r="D482" s="40" t="s">
        <v>821</v>
      </c>
      <c r="E482" s="48"/>
      <c r="F482" s="48"/>
      <c r="G482" s="48"/>
      <c r="H482" s="48"/>
      <c r="I482" s="48"/>
      <c r="J482" s="48"/>
      <c r="K482" s="49"/>
      <c r="L482" s="49"/>
      <c r="M482" s="49"/>
      <c r="N482" s="49"/>
      <c r="O482" s="49"/>
      <c r="P482" s="49"/>
      <c r="Q482" s="49"/>
      <c r="R482" s="49"/>
      <c r="S482" s="49"/>
      <c r="T482" s="41"/>
      <c r="U482" s="42"/>
      <c r="V482" s="42"/>
      <c r="W482" s="42"/>
      <c r="X482" s="42"/>
      <c r="Y482" s="42"/>
      <c r="Z482" s="42"/>
      <c r="AA482" s="127">
        <f t="shared" si="7"/>
        <v>0</v>
      </c>
      <c r="AB482" s="43" t="s">
        <v>188</v>
      </c>
    </row>
    <row r="483" spans="1:28" ht="12.75">
      <c r="A483" s="38">
        <v>36110</v>
      </c>
      <c r="B483" s="39" t="s">
        <v>882</v>
      </c>
      <c r="C483" s="40" t="s">
        <v>883</v>
      </c>
      <c r="D483" s="40" t="s">
        <v>821</v>
      </c>
      <c r="E483" s="48"/>
      <c r="F483" s="48"/>
      <c r="G483" s="48"/>
      <c r="H483" s="48">
        <f>50*5</f>
        <v>250</v>
      </c>
      <c r="I483" s="48">
        <v>50</v>
      </c>
      <c r="J483" s="48"/>
      <c r="K483" s="49"/>
      <c r="L483" s="49"/>
      <c r="M483" s="49"/>
      <c r="N483" s="49"/>
      <c r="O483" s="49"/>
      <c r="P483" s="49"/>
      <c r="Q483" s="49"/>
      <c r="R483" s="49"/>
      <c r="S483" s="49"/>
      <c r="T483" s="41"/>
      <c r="U483" s="42"/>
      <c r="V483" s="42"/>
      <c r="W483" s="42"/>
      <c r="X483" s="42">
        <v>11020000</v>
      </c>
      <c r="Y483" s="42"/>
      <c r="Z483" s="42"/>
      <c r="AA483" s="127">
        <f t="shared" si="7"/>
        <v>11020000</v>
      </c>
      <c r="AB483" s="43" t="s">
        <v>439</v>
      </c>
    </row>
    <row r="484" spans="1:28" ht="12.75">
      <c r="A484" s="38">
        <v>36111</v>
      </c>
      <c r="B484" s="39" t="s">
        <v>22</v>
      </c>
      <c r="C484" s="40" t="s">
        <v>27</v>
      </c>
      <c r="D484" s="40" t="s">
        <v>821</v>
      </c>
      <c r="E484" s="48"/>
      <c r="F484" s="48"/>
      <c r="G484" s="48"/>
      <c r="H484" s="48">
        <v>109</v>
      </c>
      <c r="I484" s="48">
        <v>22</v>
      </c>
      <c r="J484" s="48"/>
      <c r="K484" s="49"/>
      <c r="L484" s="49"/>
      <c r="M484" s="49"/>
      <c r="N484" s="49"/>
      <c r="O484" s="49"/>
      <c r="P484" s="49"/>
      <c r="Q484" s="49"/>
      <c r="R484" s="49"/>
      <c r="S484" s="49"/>
      <c r="T484" s="41"/>
      <c r="U484" s="42"/>
      <c r="V484" s="42"/>
      <c r="W484" s="42"/>
      <c r="X484" s="42"/>
      <c r="Y484" s="42"/>
      <c r="Z484" s="42"/>
      <c r="AA484" s="127">
        <f t="shared" si="7"/>
        <v>0</v>
      </c>
      <c r="AB484" s="43" t="s">
        <v>238</v>
      </c>
    </row>
    <row r="485" spans="1:28" ht="12.75">
      <c r="A485" s="38">
        <v>36111</v>
      </c>
      <c r="B485" s="39" t="s">
        <v>22</v>
      </c>
      <c r="C485" s="40" t="s">
        <v>29</v>
      </c>
      <c r="D485" s="40" t="s">
        <v>821</v>
      </c>
      <c r="E485" s="48"/>
      <c r="F485" s="48"/>
      <c r="G485" s="48"/>
      <c r="H485" s="48">
        <v>78</v>
      </c>
      <c r="I485" s="48">
        <v>18</v>
      </c>
      <c r="J485" s="48"/>
      <c r="K485" s="49"/>
      <c r="L485" s="49"/>
      <c r="M485" s="49"/>
      <c r="N485" s="49"/>
      <c r="O485" s="49"/>
      <c r="P485" s="49"/>
      <c r="Q485" s="49"/>
      <c r="R485" s="49"/>
      <c r="S485" s="49"/>
      <c r="T485" s="41"/>
      <c r="U485" s="42"/>
      <c r="V485" s="42"/>
      <c r="W485" s="42"/>
      <c r="X485" s="42"/>
      <c r="Y485" s="42"/>
      <c r="Z485" s="42"/>
      <c r="AA485" s="127">
        <f t="shared" si="7"/>
        <v>0</v>
      </c>
      <c r="AB485" s="43" t="s">
        <v>238</v>
      </c>
    </row>
    <row r="486" spans="1:28" ht="12.75">
      <c r="A486" s="38">
        <v>36111</v>
      </c>
      <c r="B486" s="39" t="s">
        <v>22</v>
      </c>
      <c r="C486" s="40" t="s">
        <v>27</v>
      </c>
      <c r="D486" s="40" t="s">
        <v>821</v>
      </c>
      <c r="E486" s="48"/>
      <c r="F486" s="48"/>
      <c r="G486" s="48"/>
      <c r="H486" s="48">
        <v>109</v>
      </c>
      <c r="I486" s="48">
        <v>22</v>
      </c>
      <c r="J486" s="48"/>
      <c r="K486" s="49"/>
      <c r="L486" s="49"/>
      <c r="M486" s="49"/>
      <c r="N486" s="49"/>
      <c r="O486" s="49"/>
      <c r="P486" s="49"/>
      <c r="Q486" s="49"/>
      <c r="R486" s="49"/>
      <c r="S486" s="49"/>
      <c r="T486" s="41"/>
      <c r="U486" s="42">
        <v>3719605.78</v>
      </c>
      <c r="V486" s="42">
        <v>475904</v>
      </c>
      <c r="W486" s="42"/>
      <c r="X486" s="42"/>
      <c r="Y486" s="42"/>
      <c r="Z486" s="42"/>
      <c r="AA486" s="127">
        <f t="shared" si="7"/>
        <v>4195509.779999999</v>
      </c>
      <c r="AB486" s="43" t="s">
        <v>337</v>
      </c>
    </row>
    <row r="487" spans="1:28" ht="12.75">
      <c r="A487" s="38">
        <v>36111</v>
      </c>
      <c r="B487" s="39" t="s">
        <v>22</v>
      </c>
      <c r="C487" s="40" t="s">
        <v>29</v>
      </c>
      <c r="D487" s="40" t="s">
        <v>821</v>
      </c>
      <c r="E487" s="48"/>
      <c r="F487" s="48"/>
      <c r="G487" s="48"/>
      <c r="H487" s="48">
        <v>78</v>
      </c>
      <c r="I487" s="48">
        <v>18</v>
      </c>
      <c r="J487" s="48"/>
      <c r="K487" s="49"/>
      <c r="L487" s="49"/>
      <c r="M487" s="49"/>
      <c r="N487" s="49"/>
      <c r="O487" s="49"/>
      <c r="P487" s="49"/>
      <c r="Q487" s="49"/>
      <c r="R487" s="49"/>
      <c r="S487" s="49"/>
      <c r="T487" s="41"/>
      <c r="U487" s="42">
        <v>3043313.82</v>
      </c>
      <c r="V487" s="42">
        <v>389376</v>
      </c>
      <c r="W487" s="42"/>
      <c r="X487" s="42"/>
      <c r="Y487" s="42"/>
      <c r="Z487" s="42"/>
      <c r="AA487" s="127">
        <f t="shared" si="7"/>
        <v>3432689.82</v>
      </c>
      <c r="AB487" s="43"/>
    </row>
    <row r="488" spans="1:28" ht="16.5">
      <c r="A488" s="38">
        <v>36111</v>
      </c>
      <c r="B488" s="39" t="s">
        <v>100</v>
      </c>
      <c r="C488" s="40" t="s">
        <v>410</v>
      </c>
      <c r="D488" s="40" t="s">
        <v>891</v>
      </c>
      <c r="E488" s="48"/>
      <c r="F488" s="48"/>
      <c r="G488" s="48">
        <v>1</v>
      </c>
      <c r="H488" s="48">
        <f>37+9+11+13</f>
        <v>70</v>
      </c>
      <c r="I488" s="48">
        <f>7+2+2+3</f>
        <v>14</v>
      </c>
      <c r="J488" s="48">
        <f>1+1+2+1</f>
        <v>5</v>
      </c>
      <c r="K488" s="49">
        <f>1+1</f>
        <v>2</v>
      </c>
      <c r="L488" s="49"/>
      <c r="M488" s="49"/>
      <c r="N488" s="49"/>
      <c r="O488" s="49"/>
      <c r="P488" s="49"/>
      <c r="Q488" s="49"/>
      <c r="R488" s="49"/>
      <c r="S488" s="49"/>
      <c r="T488" s="41"/>
      <c r="U488" s="42">
        <v>3131577.86</v>
      </c>
      <c r="V488" s="42">
        <v>322000</v>
      </c>
      <c r="W488" s="42"/>
      <c r="X488" s="42"/>
      <c r="Y488" s="42"/>
      <c r="Z488" s="42"/>
      <c r="AA488" s="127">
        <f t="shared" si="7"/>
        <v>3453577.86</v>
      </c>
      <c r="AB488" s="43" t="s">
        <v>72</v>
      </c>
    </row>
    <row r="489" spans="1:28" ht="12.75">
      <c r="A489" s="38">
        <v>36114</v>
      </c>
      <c r="B489" s="39" t="s">
        <v>195</v>
      </c>
      <c r="C489" s="40" t="s">
        <v>340</v>
      </c>
      <c r="D489" s="40" t="s">
        <v>911</v>
      </c>
      <c r="E489" s="48"/>
      <c r="F489" s="48"/>
      <c r="G489" s="48"/>
      <c r="H489" s="48">
        <f>60*5</f>
        <v>300</v>
      </c>
      <c r="I489" s="48">
        <v>60</v>
      </c>
      <c r="J489" s="48"/>
      <c r="K489" s="49">
        <v>60</v>
      </c>
      <c r="L489" s="49"/>
      <c r="M489" s="49"/>
      <c r="N489" s="49"/>
      <c r="O489" s="49"/>
      <c r="P489" s="49"/>
      <c r="Q489" s="49"/>
      <c r="R489" s="49"/>
      <c r="S489" s="49"/>
      <c r="T489" s="41"/>
      <c r="U489" s="42"/>
      <c r="V489" s="42"/>
      <c r="W489" s="42">
        <v>1229832</v>
      </c>
      <c r="X489" s="42"/>
      <c r="Y489" s="42"/>
      <c r="Z489" s="42"/>
      <c r="AA489" s="127">
        <f t="shared" si="7"/>
        <v>1229832</v>
      </c>
      <c r="AB489" s="43"/>
    </row>
    <row r="490" spans="1:28" ht="33">
      <c r="A490" s="38">
        <v>36116</v>
      </c>
      <c r="B490" s="39" t="s">
        <v>59</v>
      </c>
      <c r="C490" s="40" t="s">
        <v>209</v>
      </c>
      <c r="D490" s="40" t="s">
        <v>821</v>
      </c>
      <c r="E490" s="48"/>
      <c r="F490" s="48"/>
      <c r="G490" s="48"/>
      <c r="H490" s="48">
        <f>584*5</f>
        <v>2920</v>
      </c>
      <c r="I490" s="48">
        <v>584</v>
      </c>
      <c r="J490" s="48">
        <v>56</v>
      </c>
      <c r="K490" s="49">
        <v>223</v>
      </c>
      <c r="L490" s="49"/>
      <c r="M490" s="49"/>
      <c r="N490" s="49"/>
      <c r="O490" s="49"/>
      <c r="P490" s="49"/>
      <c r="Q490" s="49"/>
      <c r="R490" s="49"/>
      <c r="S490" s="49"/>
      <c r="T490" s="41" t="s">
        <v>94</v>
      </c>
      <c r="U490" s="42">
        <v>67028839.44</v>
      </c>
      <c r="V490" s="42">
        <v>12633088</v>
      </c>
      <c r="W490" s="42"/>
      <c r="X490" s="42">
        <v>2204000</v>
      </c>
      <c r="Y490" s="42"/>
      <c r="Z490" s="42"/>
      <c r="AA490" s="127">
        <f t="shared" si="7"/>
        <v>81865927.44</v>
      </c>
      <c r="AB490" s="43" t="s">
        <v>593</v>
      </c>
    </row>
    <row r="491" spans="1:28" ht="12.75">
      <c r="A491" s="38">
        <v>36116</v>
      </c>
      <c r="B491" s="39" t="s">
        <v>889</v>
      </c>
      <c r="C491" s="40" t="s">
        <v>88</v>
      </c>
      <c r="D491" s="40" t="s">
        <v>821</v>
      </c>
      <c r="E491" s="48"/>
      <c r="F491" s="48"/>
      <c r="G491" s="48"/>
      <c r="H491" s="48">
        <v>40</v>
      </c>
      <c r="I491" s="48">
        <v>8</v>
      </c>
      <c r="J491" s="48"/>
      <c r="K491" s="49">
        <v>8</v>
      </c>
      <c r="L491" s="49"/>
      <c r="M491" s="49"/>
      <c r="N491" s="49"/>
      <c r="O491" s="49"/>
      <c r="P491" s="49"/>
      <c r="Q491" s="49"/>
      <c r="R491" s="49"/>
      <c r="S491" s="49"/>
      <c r="T491" s="41"/>
      <c r="U491" s="42"/>
      <c r="V491" s="42"/>
      <c r="W491" s="42"/>
      <c r="X491" s="42"/>
      <c r="Y491" s="42"/>
      <c r="Z491" s="42"/>
      <c r="AA491" s="127">
        <f t="shared" si="7"/>
        <v>0</v>
      </c>
      <c r="AB491" s="43" t="s">
        <v>640</v>
      </c>
    </row>
    <row r="492" spans="1:29" ht="24.75">
      <c r="A492" s="38">
        <v>36117</v>
      </c>
      <c r="B492" s="39" t="s">
        <v>129</v>
      </c>
      <c r="C492" s="40" t="s">
        <v>185</v>
      </c>
      <c r="D492" s="40" t="s">
        <v>891</v>
      </c>
      <c r="E492" s="48"/>
      <c r="F492" s="48"/>
      <c r="G492" s="48"/>
      <c r="H492" s="48"/>
      <c r="I492" s="48"/>
      <c r="J492" s="48"/>
      <c r="K492" s="49"/>
      <c r="L492" s="49"/>
      <c r="M492" s="49"/>
      <c r="N492" s="49"/>
      <c r="O492" s="49">
        <v>1</v>
      </c>
      <c r="P492" s="49"/>
      <c r="Q492" s="49"/>
      <c r="R492" s="49"/>
      <c r="S492" s="49"/>
      <c r="T492" s="41" t="s">
        <v>186</v>
      </c>
      <c r="U492" s="48"/>
      <c r="V492" s="48"/>
      <c r="W492" s="48"/>
      <c r="X492" s="48"/>
      <c r="Y492" s="48"/>
      <c r="Z492" s="42"/>
      <c r="AA492" s="127">
        <f t="shared" si="7"/>
        <v>0</v>
      </c>
      <c r="AB492" s="43" t="s">
        <v>187</v>
      </c>
      <c r="AC492" s="4" t="s">
        <v>594</v>
      </c>
    </row>
    <row r="493" spans="1:28" ht="22.5">
      <c r="A493" s="38">
        <v>36117</v>
      </c>
      <c r="B493" s="39" t="s">
        <v>882</v>
      </c>
      <c r="C493" s="40" t="s">
        <v>751</v>
      </c>
      <c r="D493" s="40" t="s">
        <v>821</v>
      </c>
      <c r="E493" s="48"/>
      <c r="F493" s="48"/>
      <c r="G493" s="48"/>
      <c r="H493" s="48">
        <f>250+214</f>
        <v>464</v>
      </c>
      <c r="I493" s="48">
        <v>77</v>
      </c>
      <c r="J493" s="48"/>
      <c r="K493" s="49">
        <v>77</v>
      </c>
      <c r="L493" s="49"/>
      <c r="M493" s="49"/>
      <c r="N493" s="49"/>
      <c r="O493" s="49"/>
      <c r="P493" s="49"/>
      <c r="Q493" s="49"/>
      <c r="R493" s="49"/>
      <c r="S493" s="49"/>
      <c r="T493" s="41"/>
      <c r="U493" s="42"/>
      <c r="V493" s="42"/>
      <c r="W493" s="42"/>
      <c r="X493" s="42">
        <v>4408000</v>
      </c>
      <c r="Y493" s="42"/>
      <c r="Z493" s="42"/>
      <c r="AA493" s="127">
        <f t="shared" si="7"/>
        <v>4408000</v>
      </c>
      <c r="AB493" s="43"/>
    </row>
    <row r="494" spans="1:28" ht="12.75">
      <c r="A494" s="38">
        <v>36117</v>
      </c>
      <c r="B494" s="39" t="s">
        <v>889</v>
      </c>
      <c r="C494" s="40" t="s">
        <v>315</v>
      </c>
      <c r="D494" s="40" t="s">
        <v>821</v>
      </c>
      <c r="E494" s="48"/>
      <c r="F494" s="48"/>
      <c r="G494" s="48"/>
      <c r="H494" s="48">
        <v>102</v>
      </c>
      <c r="I494" s="48">
        <v>22</v>
      </c>
      <c r="J494" s="48"/>
      <c r="K494" s="49"/>
      <c r="L494" s="49"/>
      <c r="M494" s="49"/>
      <c r="N494" s="49"/>
      <c r="O494" s="49"/>
      <c r="P494" s="49"/>
      <c r="Q494" s="49"/>
      <c r="R494" s="49"/>
      <c r="S494" s="49"/>
      <c r="T494" s="41"/>
      <c r="U494" s="42">
        <v>3916048.43</v>
      </c>
      <c r="V494" s="42"/>
      <c r="W494" s="42"/>
      <c r="X494" s="42"/>
      <c r="Y494" s="42"/>
      <c r="Z494" s="42"/>
      <c r="AA494" s="127">
        <f t="shared" si="7"/>
        <v>3916048.43</v>
      </c>
      <c r="AB494" s="43" t="s">
        <v>334</v>
      </c>
    </row>
    <row r="495" spans="1:28" ht="16.5">
      <c r="A495" s="38">
        <v>36117</v>
      </c>
      <c r="B495" s="39" t="s">
        <v>92</v>
      </c>
      <c r="C495" s="40" t="s">
        <v>93</v>
      </c>
      <c r="D495" s="40" t="s">
        <v>891</v>
      </c>
      <c r="E495" s="48"/>
      <c r="F495" s="48"/>
      <c r="G495" s="48"/>
      <c r="H495" s="48">
        <v>12</v>
      </c>
      <c r="I495" s="48">
        <v>3</v>
      </c>
      <c r="J495" s="48">
        <v>3</v>
      </c>
      <c r="K495" s="49"/>
      <c r="L495" s="49"/>
      <c r="M495" s="49"/>
      <c r="N495" s="49"/>
      <c r="O495" s="49"/>
      <c r="P495" s="49"/>
      <c r="Q495" s="49"/>
      <c r="R495" s="49"/>
      <c r="S495" s="49"/>
      <c r="T495" s="41"/>
      <c r="U495" s="42"/>
      <c r="V495" s="42"/>
      <c r="W495" s="42"/>
      <c r="X495" s="42"/>
      <c r="Y495" s="42"/>
      <c r="Z495" s="42"/>
      <c r="AA495" s="127">
        <f t="shared" si="7"/>
        <v>0</v>
      </c>
      <c r="AB495" s="43" t="s">
        <v>333</v>
      </c>
    </row>
    <row r="496" spans="1:28" ht="12.75">
      <c r="A496" s="38">
        <v>36117</v>
      </c>
      <c r="B496" s="39" t="s">
        <v>49</v>
      </c>
      <c r="C496" s="40" t="s">
        <v>330</v>
      </c>
      <c r="D496" s="40" t="s">
        <v>821</v>
      </c>
      <c r="E496" s="48"/>
      <c r="F496" s="48"/>
      <c r="G496" s="48"/>
      <c r="H496" s="48">
        <v>100</v>
      </c>
      <c r="I496" s="48">
        <v>19</v>
      </c>
      <c r="J496" s="48"/>
      <c r="K496" s="49">
        <v>19</v>
      </c>
      <c r="L496" s="49"/>
      <c r="M496" s="49"/>
      <c r="N496" s="49"/>
      <c r="O496" s="49"/>
      <c r="P496" s="49"/>
      <c r="Q496" s="49"/>
      <c r="R496" s="49"/>
      <c r="S496" s="49"/>
      <c r="T496" s="41"/>
      <c r="U496" s="42">
        <v>2407632</v>
      </c>
      <c r="V496" s="42"/>
      <c r="W496" s="42"/>
      <c r="X496" s="42"/>
      <c r="Y496" s="42"/>
      <c r="Z496" s="42"/>
      <c r="AA496" s="127">
        <f t="shared" si="7"/>
        <v>2407632</v>
      </c>
      <c r="AB496" s="43" t="s">
        <v>332</v>
      </c>
    </row>
    <row r="497" spans="1:28" ht="16.5">
      <c r="A497" s="38">
        <v>36118</v>
      </c>
      <c r="B497" s="39" t="s">
        <v>13</v>
      </c>
      <c r="C497" s="40" t="s">
        <v>268</v>
      </c>
      <c r="D497" s="40" t="s">
        <v>821</v>
      </c>
      <c r="E497" s="48"/>
      <c r="F497" s="48"/>
      <c r="G497" s="48"/>
      <c r="H497" s="48">
        <f>192*5</f>
        <v>960</v>
      </c>
      <c r="I497" s="48">
        <v>192</v>
      </c>
      <c r="J497" s="48"/>
      <c r="K497" s="49"/>
      <c r="L497" s="49"/>
      <c r="M497" s="49"/>
      <c r="N497" s="49"/>
      <c r="O497" s="49"/>
      <c r="P497" s="49"/>
      <c r="Q497" s="49"/>
      <c r="R497" s="49"/>
      <c r="S497" s="49"/>
      <c r="T497" s="41"/>
      <c r="U497" s="42"/>
      <c r="V497" s="42">
        <v>4153344</v>
      </c>
      <c r="W497" s="42">
        <v>13687999.999999998</v>
      </c>
      <c r="X497" s="42"/>
      <c r="Y497" s="42"/>
      <c r="Z497" s="42">
        <v>10000000</v>
      </c>
      <c r="AA497" s="127">
        <f t="shared" si="7"/>
        <v>27841344</v>
      </c>
      <c r="AB497" s="43" t="s">
        <v>438</v>
      </c>
    </row>
    <row r="498" spans="1:28" ht="16.5">
      <c r="A498" s="38">
        <v>36118</v>
      </c>
      <c r="B498" s="39" t="s">
        <v>39</v>
      </c>
      <c r="C498" s="40" t="s">
        <v>540</v>
      </c>
      <c r="D498" s="40" t="s">
        <v>821</v>
      </c>
      <c r="E498" s="48"/>
      <c r="F498" s="48"/>
      <c r="G498" s="48"/>
      <c r="H498" s="48">
        <f>150*5</f>
        <v>750</v>
      </c>
      <c r="I498" s="48">
        <v>150</v>
      </c>
      <c r="J498" s="48"/>
      <c r="K498" s="49">
        <v>150</v>
      </c>
      <c r="L498" s="49"/>
      <c r="M498" s="49"/>
      <c r="N498" s="49"/>
      <c r="O498" s="49"/>
      <c r="P498" s="49"/>
      <c r="Q498" s="49"/>
      <c r="R498" s="49"/>
      <c r="S498" s="49"/>
      <c r="T498" s="41"/>
      <c r="U498" s="42">
        <v>13937400</v>
      </c>
      <c r="V498" s="42">
        <v>3244800</v>
      </c>
      <c r="W498" s="42">
        <v>3422000</v>
      </c>
      <c r="X498" s="42"/>
      <c r="Y498" s="42"/>
      <c r="Z498" s="42"/>
      <c r="AA498" s="127">
        <f t="shared" si="7"/>
        <v>20604200</v>
      </c>
      <c r="AB498" s="43" t="s">
        <v>342</v>
      </c>
    </row>
    <row r="499" spans="1:28" ht="22.5">
      <c r="A499" s="38">
        <v>36119</v>
      </c>
      <c r="B499" s="39" t="s">
        <v>820</v>
      </c>
      <c r="C499" s="40" t="s">
        <v>873</v>
      </c>
      <c r="D499" s="40" t="s">
        <v>821</v>
      </c>
      <c r="E499" s="48"/>
      <c r="F499" s="48"/>
      <c r="G499" s="48"/>
      <c r="H499" s="48"/>
      <c r="I499" s="48"/>
      <c r="J499" s="48"/>
      <c r="K499" s="49"/>
      <c r="L499" s="49"/>
      <c r="M499" s="49"/>
      <c r="N499" s="49"/>
      <c r="O499" s="49"/>
      <c r="P499" s="49"/>
      <c r="Q499" s="49"/>
      <c r="R499" s="49"/>
      <c r="S499" s="49"/>
      <c r="T499" s="41"/>
      <c r="U499" s="42"/>
      <c r="V499" s="42"/>
      <c r="W499" s="42"/>
      <c r="X499" s="42"/>
      <c r="Y499" s="42"/>
      <c r="Z499" s="42"/>
      <c r="AA499" s="127">
        <f t="shared" si="7"/>
        <v>0</v>
      </c>
      <c r="AB499" s="43" t="s">
        <v>339</v>
      </c>
    </row>
    <row r="500" spans="1:28" ht="12.75">
      <c r="A500" s="38">
        <v>36119</v>
      </c>
      <c r="B500" s="39" t="s">
        <v>22</v>
      </c>
      <c r="C500" s="40" t="s">
        <v>147</v>
      </c>
      <c r="D500" s="40" t="s">
        <v>821</v>
      </c>
      <c r="E500" s="48"/>
      <c r="F500" s="48"/>
      <c r="G500" s="48"/>
      <c r="H500" s="48">
        <v>188</v>
      </c>
      <c r="I500" s="48">
        <v>47</v>
      </c>
      <c r="J500" s="48"/>
      <c r="K500" s="49"/>
      <c r="L500" s="49"/>
      <c r="M500" s="49"/>
      <c r="N500" s="49"/>
      <c r="O500" s="49"/>
      <c r="P500" s="49"/>
      <c r="Q500" s="49"/>
      <c r="R500" s="49"/>
      <c r="S500" s="49"/>
      <c r="T500" s="41"/>
      <c r="U500" s="42">
        <v>7946430.53</v>
      </c>
      <c r="V500" s="42">
        <v>1016704</v>
      </c>
      <c r="W500" s="42"/>
      <c r="X500" s="42"/>
      <c r="Y500" s="42"/>
      <c r="Z500" s="42"/>
      <c r="AA500" s="127">
        <f t="shared" si="7"/>
        <v>8963134.530000001</v>
      </c>
      <c r="AB500" s="43" t="s">
        <v>338</v>
      </c>
    </row>
    <row r="501" spans="1:28" ht="27.75">
      <c r="A501" s="38">
        <v>36119</v>
      </c>
      <c r="B501" s="39" t="s">
        <v>34</v>
      </c>
      <c r="C501" s="40" t="s">
        <v>325</v>
      </c>
      <c r="D501" s="40" t="s">
        <v>891</v>
      </c>
      <c r="E501" s="48">
        <v>1</v>
      </c>
      <c r="F501" s="48"/>
      <c r="G501" s="48"/>
      <c r="H501" s="48">
        <f>6+2+6+5+30+15</f>
        <v>64</v>
      </c>
      <c r="I501" s="48">
        <f>3+2+10+6</f>
        <v>21</v>
      </c>
      <c r="J501" s="48">
        <v>3</v>
      </c>
      <c r="K501" s="49">
        <v>17</v>
      </c>
      <c r="L501" s="49"/>
      <c r="M501" s="49"/>
      <c r="N501" s="49">
        <v>2</v>
      </c>
      <c r="O501" s="49">
        <v>1</v>
      </c>
      <c r="P501" s="49"/>
      <c r="Q501" s="49"/>
      <c r="R501" s="49"/>
      <c r="S501" s="49"/>
      <c r="T501" s="41"/>
      <c r="U501" s="42"/>
      <c r="V501" s="42"/>
      <c r="W501" s="42"/>
      <c r="X501" s="42"/>
      <c r="Y501" s="42"/>
      <c r="Z501" s="42"/>
      <c r="AA501" s="127">
        <f t="shared" si="7"/>
        <v>0</v>
      </c>
      <c r="AB501" s="43" t="s">
        <v>326</v>
      </c>
    </row>
    <row r="502" spans="1:28" ht="33">
      <c r="A502" s="38">
        <v>36120</v>
      </c>
      <c r="B502" s="39" t="s">
        <v>49</v>
      </c>
      <c r="C502" s="40" t="s">
        <v>440</v>
      </c>
      <c r="D502" s="40" t="s">
        <v>891</v>
      </c>
      <c r="E502" s="48"/>
      <c r="F502" s="48"/>
      <c r="G502" s="48"/>
      <c r="H502" s="48">
        <v>70</v>
      </c>
      <c r="I502" s="48">
        <v>17</v>
      </c>
      <c r="J502" s="48">
        <v>11</v>
      </c>
      <c r="K502" s="49"/>
      <c r="L502" s="49">
        <v>1</v>
      </c>
      <c r="M502" s="49"/>
      <c r="N502" s="49"/>
      <c r="O502" s="49"/>
      <c r="P502" s="49"/>
      <c r="Q502" s="49"/>
      <c r="R502" s="49"/>
      <c r="S502" s="49"/>
      <c r="T502" s="41"/>
      <c r="U502" s="42">
        <v>2833701.61</v>
      </c>
      <c r="V502" s="42">
        <v>352444</v>
      </c>
      <c r="W502" s="42"/>
      <c r="X502" s="42"/>
      <c r="Y502" s="42"/>
      <c r="Z502" s="42"/>
      <c r="AA502" s="127">
        <f t="shared" si="7"/>
        <v>3186145.61</v>
      </c>
      <c r="AB502" s="43" t="s">
        <v>749</v>
      </c>
    </row>
    <row r="503" spans="1:28" ht="12.75">
      <c r="A503" s="38">
        <v>36120</v>
      </c>
      <c r="B503" s="39" t="s">
        <v>49</v>
      </c>
      <c r="C503" s="40" t="s">
        <v>427</v>
      </c>
      <c r="D503" s="40" t="s">
        <v>821</v>
      </c>
      <c r="E503" s="48"/>
      <c r="F503" s="48"/>
      <c r="G503" s="48"/>
      <c r="H503" s="48">
        <f>27*5</f>
        <v>135</v>
      </c>
      <c r="I503" s="48">
        <v>27</v>
      </c>
      <c r="J503" s="48"/>
      <c r="K503" s="49"/>
      <c r="L503" s="49"/>
      <c r="M503" s="49"/>
      <c r="N503" s="49"/>
      <c r="O503" s="49"/>
      <c r="P503" s="49"/>
      <c r="Q503" s="49"/>
      <c r="R503" s="49"/>
      <c r="S503" s="49"/>
      <c r="T503" s="41"/>
      <c r="U503" s="42">
        <v>4500584.91</v>
      </c>
      <c r="V503" s="42">
        <v>559764</v>
      </c>
      <c r="W503" s="42"/>
      <c r="X503" s="42"/>
      <c r="Y503" s="42"/>
      <c r="Z503" s="42"/>
      <c r="AA503" s="127">
        <f t="shared" si="7"/>
        <v>5060348.91</v>
      </c>
      <c r="AB503" s="43"/>
    </row>
    <row r="504" spans="1:28" ht="16.5">
      <c r="A504" s="38">
        <v>36121</v>
      </c>
      <c r="B504" s="39" t="s">
        <v>829</v>
      </c>
      <c r="C504" s="40" t="s">
        <v>119</v>
      </c>
      <c r="D504" s="40" t="s">
        <v>891</v>
      </c>
      <c r="E504" s="48">
        <v>1</v>
      </c>
      <c r="F504" s="48">
        <v>3</v>
      </c>
      <c r="G504" s="48"/>
      <c r="H504" s="48">
        <f>65*5</f>
        <v>325</v>
      </c>
      <c r="I504" s="48">
        <v>65</v>
      </c>
      <c r="J504" s="48">
        <v>28</v>
      </c>
      <c r="K504" s="49">
        <v>37</v>
      </c>
      <c r="L504" s="49">
        <v>2</v>
      </c>
      <c r="M504" s="49"/>
      <c r="N504" s="49"/>
      <c r="O504" s="49"/>
      <c r="P504" s="49"/>
      <c r="Q504" s="49"/>
      <c r="R504" s="49"/>
      <c r="S504" s="49"/>
      <c r="T504" s="41"/>
      <c r="U504" s="42">
        <v>14071991.119999997</v>
      </c>
      <c r="V504" s="42">
        <v>1903616</v>
      </c>
      <c r="W504" s="42">
        <v>5465920</v>
      </c>
      <c r="X504" s="42"/>
      <c r="Y504" s="42"/>
      <c r="Z504" s="42"/>
      <c r="AA504" s="127">
        <f t="shared" si="7"/>
        <v>21441527.119999997</v>
      </c>
      <c r="AB504" s="43" t="s">
        <v>327</v>
      </c>
    </row>
    <row r="505" spans="1:28" ht="24.75">
      <c r="A505" s="38">
        <v>36121</v>
      </c>
      <c r="B505" s="39" t="s">
        <v>829</v>
      </c>
      <c r="C505" s="40" t="s">
        <v>122</v>
      </c>
      <c r="D505" s="40" t="s">
        <v>891</v>
      </c>
      <c r="E505" s="48"/>
      <c r="F505" s="48"/>
      <c r="G505" s="48"/>
      <c r="H505" s="48">
        <f>45*5</f>
        <v>225</v>
      </c>
      <c r="I505" s="48">
        <v>45</v>
      </c>
      <c r="J505" s="48">
        <v>25</v>
      </c>
      <c r="K505" s="49">
        <v>20</v>
      </c>
      <c r="L505" s="49"/>
      <c r="M505" s="49"/>
      <c r="N505" s="49"/>
      <c r="O505" s="49"/>
      <c r="P505" s="49"/>
      <c r="Q505" s="49"/>
      <c r="R505" s="49"/>
      <c r="S505" s="49"/>
      <c r="T505" s="41"/>
      <c r="U505" s="42">
        <v>7112384.55</v>
      </c>
      <c r="V505" s="42">
        <v>973440</v>
      </c>
      <c r="W505" s="42">
        <v>1366480</v>
      </c>
      <c r="X505" s="42"/>
      <c r="Y505" s="42"/>
      <c r="Z505" s="42"/>
      <c r="AA505" s="127">
        <f t="shared" si="7"/>
        <v>9452304.55</v>
      </c>
      <c r="AB505" s="43" t="s">
        <v>328</v>
      </c>
    </row>
    <row r="506" spans="1:28" ht="12.75">
      <c r="A506" s="38">
        <v>36122</v>
      </c>
      <c r="B506" s="39" t="s">
        <v>820</v>
      </c>
      <c r="C506" s="40" t="s">
        <v>616</v>
      </c>
      <c r="D506" s="40" t="s">
        <v>821</v>
      </c>
      <c r="E506" s="48"/>
      <c r="F506" s="48"/>
      <c r="G506" s="48"/>
      <c r="H506" s="48">
        <f>600*5</f>
        <v>3000</v>
      </c>
      <c r="I506" s="48">
        <v>600</v>
      </c>
      <c r="J506" s="48"/>
      <c r="K506" s="49"/>
      <c r="L506" s="49"/>
      <c r="M506" s="49"/>
      <c r="N506" s="49"/>
      <c r="O506" s="49"/>
      <c r="P506" s="49"/>
      <c r="Q506" s="49"/>
      <c r="R506" s="49"/>
      <c r="S506" s="49"/>
      <c r="T506" s="41"/>
      <c r="U506" s="42"/>
      <c r="V506" s="42"/>
      <c r="W506" s="42"/>
      <c r="X506" s="42"/>
      <c r="Y506" s="42"/>
      <c r="Z506" s="42"/>
      <c r="AA506" s="127">
        <f t="shared" si="7"/>
        <v>0</v>
      </c>
      <c r="AB506" s="43" t="s">
        <v>644</v>
      </c>
    </row>
    <row r="507" spans="1:28" ht="33">
      <c r="A507" s="38">
        <v>36125</v>
      </c>
      <c r="B507" s="39" t="s">
        <v>22</v>
      </c>
      <c r="C507" s="40" t="s">
        <v>335</v>
      </c>
      <c r="D507" s="40" t="s">
        <v>887</v>
      </c>
      <c r="E507" s="48"/>
      <c r="F507" s="48"/>
      <c r="G507" s="48"/>
      <c r="H507" s="48"/>
      <c r="I507" s="48"/>
      <c r="J507" s="48"/>
      <c r="K507" s="49"/>
      <c r="L507" s="49"/>
      <c r="M507" s="49"/>
      <c r="N507" s="49">
        <v>1</v>
      </c>
      <c r="O507" s="49"/>
      <c r="P507" s="49"/>
      <c r="Q507" s="49"/>
      <c r="R507" s="49"/>
      <c r="S507" s="49"/>
      <c r="T507" s="41"/>
      <c r="U507" s="42"/>
      <c r="V507" s="42"/>
      <c r="W507" s="42"/>
      <c r="X507" s="42"/>
      <c r="Y507" s="42"/>
      <c r="Z507" s="42">
        <v>6000000</v>
      </c>
      <c r="AA507" s="127">
        <f t="shared" si="7"/>
        <v>6000000</v>
      </c>
      <c r="AB507" s="43" t="s">
        <v>336</v>
      </c>
    </row>
    <row r="508" spans="1:28" ht="12.75">
      <c r="A508" s="38">
        <v>36125</v>
      </c>
      <c r="B508" s="39" t="s">
        <v>310</v>
      </c>
      <c r="C508" s="40" t="s">
        <v>341</v>
      </c>
      <c r="D508" s="40" t="s">
        <v>821</v>
      </c>
      <c r="E508" s="48"/>
      <c r="F508" s="48"/>
      <c r="G508" s="48"/>
      <c r="H508" s="48">
        <v>5</v>
      </c>
      <c r="I508" s="48">
        <v>1</v>
      </c>
      <c r="J508" s="48"/>
      <c r="K508" s="49"/>
      <c r="L508" s="49"/>
      <c r="M508" s="49"/>
      <c r="N508" s="49"/>
      <c r="O508" s="49"/>
      <c r="P508" s="49"/>
      <c r="Q508" s="49"/>
      <c r="R508" s="49"/>
      <c r="S508" s="49"/>
      <c r="T508" s="41"/>
      <c r="U508" s="42">
        <v>335700.94</v>
      </c>
      <c r="V508" s="42"/>
      <c r="W508" s="42"/>
      <c r="X508" s="42"/>
      <c r="Y508" s="42"/>
      <c r="Z508" s="42"/>
      <c r="AA508" s="127">
        <f t="shared" si="7"/>
        <v>335700.94</v>
      </c>
      <c r="AB508" s="43"/>
    </row>
    <row r="509" spans="1:28" ht="16.5">
      <c r="A509" s="38">
        <v>36128</v>
      </c>
      <c r="B509" s="39" t="s">
        <v>820</v>
      </c>
      <c r="C509" s="40" t="s">
        <v>908</v>
      </c>
      <c r="D509" s="40" t="s">
        <v>821</v>
      </c>
      <c r="E509" s="48"/>
      <c r="F509" s="48"/>
      <c r="G509" s="48"/>
      <c r="H509" s="48">
        <f>240*5</f>
        <v>1200</v>
      </c>
      <c r="I509" s="48">
        <v>240</v>
      </c>
      <c r="J509" s="48">
        <v>4</v>
      </c>
      <c r="K509" s="49">
        <v>240</v>
      </c>
      <c r="L509" s="49"/>
      <c r="M509" s="49"/>
      <c r="N509" s="49"/>
      <c r="O509" s="49"/>
      <c r="P509" s="49"/>
      <c r="Q509" s="49"/>
      <c r="R509" s="49"/>
      <c r="S509" s="49"/>
      <c r="T509" s="41"/>
      <c r="U509" s="42"/>
      <c r="V509" s="42"/>
      <c r="W509" s="42"/>
      <c r="X509" s="42"/>
      <c r="Y509" s="42"/>
      <c r="Z509" s="42"/>
      <c r="AA509" s="127">
        <f t="shared" si="7"/>
        <v>0</v>
      </c>
      <c r="AB509" s="43" t="s">
        <v>623</v>
      </c>
    </row>
    <row r="510" spans="1:28" ht="12.75">
      <c r="A510" s="38">
        <v>36129</v>
      </c>
      <c r="B510" s="39" t="s">
        <v>820</v>
      </c>
      <c r="C510" s="40" t="s">
        <v>643</v>
      </c>
      <c r="D510" s="40" t="s">
        <v>821</v>
      </c>
      <c r="E510" s="48"/>
      <c r="F510" s="48"/>
      <c r="G510" s="48"/>
      <c r="H510" s="48">
        <f>200*5</f>
        <v>1000</v>
      </c>
      <c r="I510" s="48">
        <v>200</v>
      </c>
      <c r="J510" s="48"/>
      <c r="K510" s="49"/>
      <c r="L510" s="49"/>
      <c r="M510" s="49"/>
      <c r="N510" s="49"/>
      <c r="O510" s="49"/>
      <c r="P510" s="49"/>
      <c r="Q510" s="49"/>
      <c r="R510" s="49"/>
      <c r="S510" s="49"/>
      <c r="T510" s="41"/>
      <c r="U510" s="42"/>
      <c r="V510" s="42"/>
      <c r="W510" s="42"/>
      <c r="X510" s="42"/>
      <c r="Y510" s="42"/>
      <c r="Z510" s="42"/>
      <c r="AA510" s="127">
        <f t="shared" si="7"/>
        <v>0</v>
      </c>
      <c r="AB510" s="43" t="s">
        <v>644</v>
      </c>
    </row>
    <row r="511" spans="1:28" ht="12.75">
      <c r="A511" s="38">
        <v>36129</v>
      </c>
      <c r="B511" s="39" t="s">
        <v>882</v>
      </c>
      <c r="C511" s="40" t="s">
        <v>308</v>
      </c>
      <c r="D511" s="40" t="s">
        <v>821</v>
      </c>
      <c r="E511" s="48"/>
      <c r="F511" s="48"/>
      <c r="G511" s="48"/>
      <c r="H511" s="48">
        <f>1977+1747+2518+214</f>
        <v>6456</v>
      </c>
      <c r="I511" s="48">
        <v>1314</v>
      </c>
      <c r="J511" s="48"/>
      <c r="K511" s="49"/>
      <c r="L511" s="49"/>
      <c r="M511" s="49"/>
      <c r="N511" s="49"/>
      <c r="O511" s="49"/>
      <c r="P511" s="49"/>
      <c r="Q511" s="49"/>
      <c r="R511" s="49"/>
      <c r="S511" s="49"/>
      <c r="T511" s="41"/>
      <c r="U511" s="42"/>
      <c r="V511" s="42">
        <v>15142400</v>
      </c>
      <c r="W511" s="42"/>
      <c r="X511" s="42"/>
      <c r="Y511" s="42"/>
      <c r="Z511" s="42"/>
      <c r="AA511" s="127">
        <f t="shared" si="7"/>
        <v>15142400</v>
      </c>
      <c r="AB511" s="43"/>
    </row>
    <row r="512" spans="1:28" ht="12.75">
      <c r="A512" s="38">
        <v>36129</v>
      </c>
      <c r="B512" s="39" t="s">
        <v>100</v>
      </c>
      <c r="C512" s="40" t="s">
        <v>190</v>
      </c>
      <c r="D512" s="40" t="s">
        <v>821</v>
      </c>
      <c r="E512" s="48"/>
      <c r="F512" s="48"/>
      <c r="G512" s="48"/>
      <c r="H512" s="48">
        <v>95</v>
      </c>
      <c r="I512" s="48">
        <v>15</v>
      </c>
      <c r="J512" s="48">
        <v>2</v>
      </c>
      <c r="K512" s="49">
        <v>14</v>
      </c>
      <c r="L512" s="49"/>
      <c r="M512" s="49"/>
      <c r="N512" s="49"/>
      <c r="O512" s="49"/>
      <c r="P512" s="49"/>
      <c r="Q512" s="49"/>
      <c r="R512" s="49"/>
      <c r="S512" s="49"/>
      <c r="T512" s="41"/>
      <c r="U512" s="42"/>
      <c r="V512" s="42"/>
      <c r="W512" s="42">
        <v>307458</v>
      </c>
      <c r="X512" s="42"/>
      <c r="Y512" s="42"/>
      <c r="Z512" s="42"/>
      <c r="AA512" s="127">
        <f t="shared" si="7"/>
        <v>307458</v>
      </c>
      <c r="AB512" s="43"/>
    </row>
    <row r="513" spans="1:28" ht="12.75">
      <c r="A513" s="38">
        <v>36129</v>
      </c>
      <c r="B513" s="39" t="s">
        <v>100</v>
      </c>
      <c r="C513" s="40" t="s">
        <v>189</v>
      </c>
      <c r="D513" s="40" t="s">
        <v>875</v>
      </c>
      <c r="E513" s="48"/>
      <c r="F513" s="48"/>
      <c r="G513" s="48"/>
      <c r="H513" s="48">
        <f>15+13+75+32+14+11+13+32+96+90+11+145+28+13+24+43+19+23+11+34+60+13+16+13+10+37+14+26+11+13+15+16+42+78+36+26+25+13+11+9+15+8+10+28+25+13+17+13+15+15+13+11+13+43+13+15+13+16+16+12+15+21+17+11+9+16+13+35</f>
        <v>1687</v>
      </c>
      <c r="I513" s="48">
        <f>2+2+10+4+2+2+2+4+15+10+2+22+4+3+3+6+4+4+2+4+8+2+2+2+2+5+2+6+2+2+2+2+7+20+8+4+6+6+3+6+8+6+6+22+4</f>
        <v>250</v>
      </c>
      <c r="J513" s="48">
        <v>49</v>
      </c>
      <c r="K513" s="49">
        <f>2+2+3+3+13+9+2+19+2+3+5+4+4+2+3+6+2+2+3+4+2+5+4+4+7+18+8+9+9+5+2+3+4+5+5+3+3</f>
        <v>189</v>
      </c>
      <c r="L513" s="49"/>
      <c r="M513" s="49"/>
      <c r="N513" s="49"/>
      <c r="O513" s="49">
        <f>14+9+6+12+4+23</f>
        <v>68</v>
      </c>
      <c r="P513" s="49"/>
      <c r="Q513" s="49"/>
      <c r="R513" s="49"/>
      <c r="S513" s="49"/>
      <c r="T513" s="41"/>
      <c r="U513" s="42"/>
      <c r="V513" s="42"/>
      <c r="W513" s="42">
        <v>6074003.6</v>
      </c>
      <c r="X513" s="42"/>
      <c r="Y513" s="42"/>
      <c r="Z513" s="42"/>
      <c r="AA513" s="127">
        <f t="shared" si="7"/>
        <v>6074003.6</v>
      </c>
      <c r="AB513" s="43"/>
    </row>
    <row r="514" spans="1:28" ht="12.75">
      <c r="A514" s="38">
        <v>36129</v>
      </c>
      <c r="B514" s="39" t="s">
        <v>100</v>
      </c>
      <c r="C514" s="40" t="s">
        <v>410</v>
      </c>
      <c r="D514" s="40" t="s">
        <v>911</v>
      </c>
      <c r="E514" s="48"/>
      <c r="F514" s="48"/>
      <c r="G514" s="48"/>
      <c r="H514" s="48">
        <v>25</v>
      </c>
      <c r="I514" s="48">
        <v>5</v>
      </c>
      <c r="J514" s="48"/>
      <c r="K514" s="49">
        <v>6</v>
      </c>
      <c r="L514" s="49"/>
      <c r="M514" s="49"/>
      <c r="N514" s="49"/>
      <c r="O514" s="49"/>
      <c r="P514" s="49"/>
      <c r="Q514" s="49"/>
      <c r="R514" s="49"/>
      <c r="S514" s="49"/>
      <c r="T514" s="41"/>
      <c r="U514" s="42"/>
      <c r="V514" s="42"/>
      <c r="W514" s="42">
        <v>102486</v>
      </c>
      <c r="X514" s="42"/>
      <c r="Y514" s="42"/>
      <c r="Z514" s="42"/>
      <c r="AA514" s="127">
        <f t="shared" si="7"/>
        <v>102486</v>
      </c>
      <c r="AB514" s="43"/>
    </row>
    <row r="515" spans="1:28" ht="12.75">
      <c r="A515" s="38">
        <v>36129</v>
      </c>
      <c r="B515" s="39" t="s">
        <v>100</v>
      </c>
      <c r="C515" s="40" t="s">
        <v>101</v>
      </c>
      <c r="D515" s="40" t="s">
        <v>911</v>
      </c>
      <c r="E515" s="48"/>
      <c r="F515" s="48"/>
      <c r="G515" s="48"/>
      <c r="H515" s="48">
        <v>103</v>
      </c>
      <c r="I515" s="48">
        <v>17</v>
      </c>
      <c r="J515" s="48">
        <v>3</v>
      </c>
      <c r="K515" s="49">
        <v>14</v>
      </c>
      <c r="L515" s="49"/>
      <c r="M515" s="49"/>
      <c r="N515" s="49"/>
      <c r="O515" s="49"/>
      <c r="P515" s="49"/>
      <c r="Q515" s="49"/>
      <c r="R515" s="49"/>
      <c r="S515" s="49"/>
      <c r="T515" s="41"/>
      <c r="U515" s="42"/>
      <c r="V515" s="42"/>
      <c r="W515" s="42">
        <v>348452.4</v>
      </c>
      <c r="X515" s="42"/>
      <c r="Y515" s="42"/>
      <c r="Z515" s="42"/>
      <c r="AA515" s="127">
        <f t="shared" si="7"/>
        <v>348452.4</v>
      </c>
      <c r="AB515" s="43"/>
    </row>
    <row r="516" spans="1:28" ht="16.5">
      <c r="A516" s="38">
        <v>36129</v>
      </c>
      <c r="B516" s="39" t="s">
        <v>49</v>
      </c>
      <c r="C516" s="40" t="s">
        <v>4</v>
      </c>
      <c r="D516" s="40" t="s">
        <v>891</v>
      </c>
      <c r="E516" s="48"/>
      <c r="F516" s="48"/>
      <c r="G516" s="48"/>
      <c r="H516" s="48">
        <f>60*5</f>
        <v>300</v>
      </c>
      <c r="I516" s="48">
        <v>60</v>
      </c>
      <c r="J516" s="48"/>
      <c r="K516" s="49"/>
      <c r="L516" s="49"/>
      <c r="M516" s="49"/>
      <c r="N516" s="49"/>
      <c r="O516" s="49"/>
      <c r="P516" s="49"/>
      <c r="Q516" s="49"/>
      <c r="R516" s="49"/>
      <c r="S516" s="49"/>
      <c r="T516" s="41" t="s">
        <v>5</v>
      </c>
      <c r="U516" s="42">
        <v>10001299.8</v>
      </c>
      <c r="V516" s="42">
        <v>1243920</v>
      </c>
      <c r="W516" s="42">
        <v>2732960</v>
      </c>
      <c r="X516" s="42"/>
      <c r="Y516" s="42"/>
      <c r="Z516" s="42"/>
      <c r="AA516" s="127">
        <f aca="true" t="shared" si="8" ref="AA516:AA557">+U516+V516+W516+X516+Y516+Z516</f>
        <v>13978179.8</v>
      </c>
      <c r="AB516" s="43" t="s">
        <v>6</v>
      </c>
    </row>
    <row r="517" spans="1:28" ht="12.75">
      <c r="A517" s="38">
        <v>36130</v>
      </c>
      <c r="B517" s="39" t="s">
        <v>820</v>
      </c>
      <c r="C517" s="40" t="s">
        <v>800</v>
      </c>
      <c r="D517" s="40" t="s">
        <v>821</v>
      </c>
      <c r="E517" s="48"/>
      <c r="F517" s="48"/>
      <c r="G517" s="48"/>
      <c r="H517" s="48">
        <f>150*5</f>
        <v>750</v>
      </c>
      <c r="I517" s="48">
        <v>150</v>
      </c>
      <c r="J517" s="48"/>
      <c r="K517" s="49"/>
      <c r="L517" s="49"/>
      <c r="M517" s="49"/>
      <c r="N517" s="49"/>
      <c r="O517" s="49"/>
      <c r="P517" s="49"/>
      <c r="Q517" s="49"/>
      <c r="R517" s="49"/>
      <c r="S517" s="49"/>
      <c r="T517" s="41"/>
      <c r="U517" s="42"/>
      <c r="V517" s="42"/>
      <c r="W517" s="42"/>
      <c r="X517" s="42"/>
      <c r="Y517" s="42"/>
      <c r="Z517" s="42"/>
      <c r="AA517" s="127">
        <f t="shared" si="8"/>
        <v>0</v>
      </c>
      <c r="AB517" s="43" t="s">
        <v>277</v>
      </c>
    </row>
    <row r="518" spans="1:28" ht="12.75">
      <c r="A518" s="38">
        <v>36130</v>
      </c>
      <c r="B518" s="39" t="s">
        <v>820</v>
      </c>
      <c r="C518" s="40" t="s">
        <v>782</v>
      </c>
      <c r="D518" s="40" t="s">
        <v>821</v>
      </c>
      <c r="E518" s="48"/>
      <c r="F518" s="48"/>
      <c r="G518" s="48"/>
      <c r="H518" s="48"/>
      <c r="I518" s="48"/>
      <c r="J518" s="48"/>
      <c r="K518" s="49"/>
      <c r="L518" s="49">
        <v>1</v>
      </c>
      <c r="M518" s="49"/>
      <c r="N518" s="49"/>
      <c r="O518" s="49"/>
      <c r="P518" s="49"/>
      <c r="Q518" s="49"/>
      <c r="R518" s="49"/>
      <c r="S518" s="49"/>
      <c r="T518" s="41"/>
      <c r="U518" s="42"/>
      <c r="V518" s="42"/>
      <c r="W518" s="42"/>
      <c r="X518" s="42"/>
      <c r="Y518" s="42"/>
      <c r="Z518" s="42"/>
      <c r="AA518" s="127">
        <f t="shared" si="8"/>
        <v>0</v>
      </c>
      <c r="AB518" s="43"/>
    </row>
    <row r="519" spans="1:28" ht="12.75">
      <c r="A519" s="38">
        <v>36130</v>
      </c>
      <c r="B519" s="39" t="s">
        <v>49</v>
      </c>
      <c r="C519" s="40" t="s">
        <v>330</v>
      </c>
      <c r="D519" s="40" t="s">
        <v>821</v>
      </c>
      <c r="E519" s="48"/>
      <c r="F519" s="48"/>
      <c r="G519" s="48"/>
      <c r="H519" s="48">
        <f>64+72+72</f>
        <v>208</v>
      </c>
      <c r="I519" s="48">
        <f>16+18+18</f>
        <v>52</v>
      </c>
      <c r="J519" s="48"/>
      <c r="K519" s="49">
        <f>14+16+16</f>
        <v>46</v>
      </c>
      <c r="L519" s="49">
        <v>3</v>
      </c>
      <c r="M519" s="49"/>
      <c r="N519" s="49"/>
      <c r="O519" s="49">
        <v>3</v>
      </c>
      <c r="P519" s="49"/>
      <c r="Q519" s="49"/>
      <c r="R519" s="49"/>
      <c r="S519" s="49"/>
      <c r="T519" s="41" t="s">
        <v>94</v>
      </c>
      <c r="U519" s="42">
        <v>8667793.16</v>
      </c>
      <c r="V519" s="42">
        <v>1124864</v>
      </c>
      <c r="W519" s="42"/>
      <c r="X519" s="42"/>
      <c r="Y519" s="42"/>
      <c r="Z519" s="42"/>
      <c r="AA519" s="127">
        <f t="shared" si="8"/>
        <v>9792657.16</v>
      </c>
      <c r="AB519" s="43" t="s">
        <v>747</v>
      </c>
    </row>
    <row r="520" spans="1:28" ht="12.75">
      <c r="A520" s="38">
        <v>36131</v>
      </c>
      <c r="B520" s="39" t="s">
        <v>16</v>
      </c>
      <c r="C520" s="40" t="s">
        <v>19</v>
      </c>
      <c r="D520" s="40" t="s">
        <v>821</v>
      </c>
      <c r="E520" s="48"/>
      <c r="F520" s="48"/>
      <c r="G520" s="48"/>
      <c r="H520" s="48">
        <f>40*5</f>
        <v>200</v>
      </c>
      <c r="I520" s="48">
        <v>40</v>
      </c>
      <c r="J520" s="48">
        <v>5</v>
      </c>
      <c r="K520" s="49">
        <v>40</v>
      </c>
      <c r="L520" s="49"/>
      <c r="M520" s="49"/>
      <c r="N520" s="49"/>
      <c r="O520" s="49">
        <v>1</v>
      </c>
      <c r="P520" s="49">
        <v>1</v>
      </c>
      <c r="Q520" s="49"/>
      <c r="R520" s="49"/>
      <c r="S520" s="49">
        <v>1</v>
      </c>
      <c r="T520" s="41"/>
      <c r="U520" s="42">
        <v>5555013.9</v>
      </c>
      <c r="V520" s="42">
        <v>648960</v>
      </c>
      <c r="W520" s="42"/>
      <c r="X520" s="42"/>
      <c r="Y520" s="42"/>
      <c r="Z520" s="42"/>
      <c r="AA520" s="127">
        <f t="shared" si="8"/>
        <v>6203973.9</v>
      </c>
      <c r="AB520" s="43"/>
    </row>
    <row r="521" spans="1:28" ht="24.75">
      <c r="A521" s="38">
        <v>36131</v>
      </c>
      <c r="B521" s="39" t="s">
        <v>41</v>
      </c>
      <c r="C521" s="40" t="s">
        <v>875</v>
      </c>
      <c r="D521" s="40" t="s">
        <v>821</v>
      </c>
      <c r="E521" s="48"/>
      <c r="F521" s="48"/>
      <c r="G521" s="48"/>
      <c r="H521" s="48"/>
      <c r="I521" s="48"/>
      <c r="J521" s="48"/>
      <c r="K521" s="49"/>
      <c r="L521" s="49"/>
      <c r="M521" s="49"/>
      <c r="N521" s="49"/>
      <c r="O521" s="49"/>
      <c r="P521" s="49"/>
      <c r="Q521" s="49"/>
      <c r="R521" s="49"/>
      <c r="S521" s="49"/>
      <c r="T521" s="41"/>
      <c r="U521" s="42"/>
      <c r="V521" s="42"/>
      <c r="W521" s="42"/>
      <c r="X521" s="42"/>
      <c r="Y521" s="42"/>
      <c r="Z521" s="42">
        <v>10000000</v>
      </c>
      <c r="AA521" s="127">
        <f t="shared" si="8"/>
        <v>10000000</v>
      </c>
      <c r="AB521" s="43" t="s">
        <v>639</v>
      </c>
    </row>
    <row r="522" spans="1:28" ht="22.5">
      <c r="A522" s="38">
        <v>36131</v>
      </c>
      <c r="B522" s="39" t="s">
        <v>366</v>
      </c>
      <c r="C522" s="40" t="s">
        <v>652</v>
      </c>
      <c r="D522" s="40" t="s">
        <v>875</v>
      </c>
      <c r="E522" s="48"/>
      <c r="F522" s="48"/>
      <c r="G522" s="48"/>
      <c r="H522" s="48"/>
      <c r="I522" s="48"/>
      <c r="J522" s="48"/>
      <c r="K522" s="49"/>
      <c r="L522" s="49"/>
      <c r="M522" s="49"/>
      <c r="N522" s="49"/>
      <c r="O522" s="49"/>
      <c r="P522" s="49"/>
      <c r="Q522" s="49"/>
      <c r="R522" s="49"/>
      <c r="S522" s="49"/>
      <c r="T522" s="41"/>
      <c r="U522" s="42"/>
      <c r="V522" s="42"/>
      <c r="W522" s="42"/>
      <c r="X522" s="42"/>
      <c r="Y522" s="42"/>
      <c r="Z522" s="42">
        <v>1600000</v>
      </c>
      <c r="AA522" s="127">
        <f t="shared" si="8"/>
        <v>1600000</v>
      </c>
      <c r="AB522" s="43" t="s">
        <v>437</v>
      </c>
    </row>
    <row r="523" spans="1:28" ht="12.75">
      <c r="A523" s="38">
        <v>36131</v>
      </c>
      <c r="B523" s="39" t="s">
        <v>49</v>
      </c>
      <c r="C523" s="40" t="s">
        <v>54</v>
      </c>
      <c r="D523" s="40" t="s">
        <v>821</v>
      </c>
      <c r="E523" s="48"/>
      <c r="F523" s="48"/>
      <c r="G523" s="48"/>
      <c r="H523" s="48">
        <v>1750</v>
      </c>
      <c r="I523" s="48">
        <v>348</v>
      </c>
      <c r="J523" s="48"/>
      <c r="K523" s="49"/>
      <c r="L523" s="49"/>
      <c r="M523" s="49"/>
      <c r="N523" s="49"/>
      <c r="O523" s="49"/>
      <c r="P523" s="49"/>
      <c r="Q523" s="49"/>
      <c r="R523" s="49"/>
      <c r="S523" s="49"/>
      <c r="T523" s="41" t="s">
        <v>94</v>
      </c>
      <c r="U523" s="42">
        <v>49866983.63999999</v>
      </c>
      <c r="V523" s="42">
        <v>7214736</v>
      </c>
      <c r="W523" s="42">
        <v>6832399.999999999</v>
      </c>
      <c r="X523" s="42"/>
      <c r="Y523" s="42"/>
      <c r="Z523" s="42"/>
      <c r="AA523" s="127">
        <f t="shared" si="8"/>
        <v>63914119.63999999</v>
      </c>
      <c r="AB523" s="43" t="s">
        <v>274</v>
      </c>
    </row>
    <row r="524" spans="1:28" ht="16.5">
      <c r="A524" s="38">
        <v>36132</v>
      </c>
      <c r="B524" s="39" t="s">
        <v>820</v>
      </c>
      <c r="C524" s="40" t="s">
        <v>783</v>
      </c>
      <c r="D524" s="40" t="s">
        <v>821</v>
      </c>
      <c r="E524" s="48"/>
      <c r="F524" s="48"/>
      <c r="G524" s="48"/>
      <c r="H524" s="48">
        <f>191+36+40</f>
        <v>267</v>
      </c>
      <c r="I524" s="48">
        <f>42+6+11</f>
        <v>59</v>
      </c>
      <c r="J524" s="48"/>
      <c r="K524" s="49"/>
      <c r="L524" s="49"/>
      <c r="M524" s="49"/>
      <c r="N524" s="49"/>
      <c r="O524" s="49"/>
      <c r="P524" s="49"/>
      <c r="Q524" s="49"/>
      <c r="R524" s="49"/>
      <c r="S524" s="49"/>
      <c r="T524" s="41"/>
      <c r="U524" s="42"/>
      <c r="V524" s="42"/>
      <c r="W524" s="42"/>
      <c r="X524" s="42"/>
      <c r="Y524" s="42"/>
      <c r="Z524" s="42"/>
      <c r="AA524" s="127">
        <f t="shared" si="8"/>
        <v>0</v>
      </c>
      <c r="AB524" s="43" t="s">
        <v>787</v>
      </c>
    </row>
    <row r="525" spans="1:28" ht="24.75">
      <c r="A525" s="38">
        <v>36133</v>
      </c>
      <c r="B525" s="39" t="s">
        <v>49</v>
      </c>
      <c r="C525" s="40" t="s">
        <v>4</v>
      </c>
      <c r="D525" s="40" t="s">
        <v>821</v>
      </c>
      <c r="E525" s="48"/>
      <c r="F525" s="48"/>
      <c r="G525" s="48"/>
      <c r="H525" s="48">
        <v>78</v>
      </c>
      <c r="I525" s="48">
        <v>17</v>
      </c>
      <c r="J525" s="48">
        <v>12</v>
      </c>
      <c r="K525" s="49"/>
      <c r="L525" s="49"/>
      <c r="M525" s="49"/>
      <c r="N525" s="49"/>
      <c r="O525" s="49"/>
      <c r="P525" s="49"/>
      <c r="Q525" s="49"/>
      <c r="R525" s="49"/>
      <c r="S525" s="49"/>
      <c r="T525" s="41"/>
      <c r="U525" s="42"/>
      <c r="V525" s="42"/>
      <c r="W525" s="42"/>
      <c r="X525" s="42"/>
      <c r="Y525" s="42"/>
      <c r="Z525" s="42"/>
      <c r="AA525" s="127">
        <f t="shared" si="8"/>
        <v>0</v>
      </c>
      <c r="AB525" s="43" t="s">
        <v>75</v>
      </c>
    </row>
    <row r="526" spans="1:28" ht="12.75">
      <c r="A526" s="38">
        <v>36133</v>
      </c>
      <c r="B526" s="39" t="s">
        <v>49</v>
      </c>
      <c r="C526" s="40" t="s">
        <v>106</v>
      </c>
      <c r="D526" s="40" t="s">
        <v>911</v>
      </c>
      <c r="E526" s="48"/>
      <c r="F526" s="48"/>
      <c r="G526" s="48"/>
      <c r="H526" s="48">
        <f>25*5</f>
        <v>125</v>
      </c>
      <c r="I526" s="48">
        <v>25</v>
      </c>
      <c r="J526" s="48"/>
      <c r="K526" s="49"/>
      <c r="L526" s="49"/>
      <c r="M526" s="49"/>
      <c r="N526" s="49"/>
      <c r="O526" s="49"/>
      <c r="P526" s="49"/>
      <c r="Q526" s="49"/>
      <c r="R526" s="49">
        <v>1</v>
      </c>
      <c r="S526" s="49"/>
      <c r="T526" s="41"/>
      <c r="U526" s="42"/>
      <c r="V526" s="42"/>
      <c r="W526" s="42">
        <v>1366480</v>
      </c>
      <c r="X526" s="42"/>
      <c r="Y526" s="42"/>
      <c r="Z526" s="42"/>
      <c r="AA526" s="127">
        <f t="shared" si="8"/>
        <v>1366480</v>
      </c>
      <c r="AB526" s="43"/>
    </row>
    <row r="527" spans="1:28" ht="33">
      <c r="A527" s="38">
        <v>36134</v>
      </c>
      <c r="B527" s="39" t="s">
        <v>100</v>
      </c>
      <c r="C527" s="40" t="s">
        <v>275</v>
      </c>
      <c r="D527" s="40" t="s">
        <v>821</v>
      </c>
      <c r="E527" s="48"/>
      <c r="F527" s="48"/>
      <c r="G527" s="48"/>
      <c r="H527" s="48">
        <f>48*5</f>
        <v>240</v>
      </c>
      <c r="I527" s="48">
        <v>48</v>
      </c>
      <c r="J527" s="48"/>
      <c r="K527" s="49"/>
      <c r="L527" s="49"/>
      <c r="M527" s="49"/>
      <c r="N527" s="49"/>
      <c r="O527" s="49"/>
      <c r="P527" s="49"/>
      <c r="Q527" s="49"/>
      <c r="R527" s="49"/>
      <c r="S527" s="49"/>
      <c r="T527" s="41"/>
      <c r="U527" s="42">
        <v>1476687.84</v>
      </c>
      <c r="V527" s="42">
        <v>1038336</v>
      </c>
      <c r="W527" s="42"/>
      <c r="X527" s="42"/>
      <c r="Y527" s="42"/>
      <c r="Z527" s="42"/>
      <c r="AA527" s="127">
        <f t="shared" si="8"/>
        <v>2515023.84</v>
      </c>
      <c r="AB527" s="43" t="s">
        <v>276</v>
      </c>
    </row>
    <row r="528" spans="1:28" ht="12.75">
      <c r="A528" s="38">
        <v>36137</v>
      </c>
      <c r="B528" s="39" t="s">
        <v>39</v>
      </c>
      <c r="C528" s="40" t="s">
        <v>158</v>
      </c>
      <c r="D528" s="40" t="s">
        <v>821</v>
      </c>
      <c r="E528" s="48"/>
      <c r="F528" s="48"/>
      <c r="G528" s="48"/>
      <c r="H528" s="48">
        <f>281*5</f>
        <v>1405</v>
      </c>
      <c r="I528" s="48">
        <v>281</v>
      </c>
      <c r="J528" s="48"/>
      <c r="K528" s="49">
        <v>101</v>
      </c>
      <c r="L528" s="49"/>
      <c r="M528" s="49"/>
      <c r="N528" s="49"/>
      <c r="O528" s="49"/>
      <c r="P528" s="49"/>
      <c r="Q528" s="49"/>
      <c r="R528" s="49"/>
      <c r="S528" s="49"/>
      <c r="T528" s="41"/>
      <c r="U528" s="42">
        <v>31670591.13</v>
      </c>
      <c r="V528" s="42">
        <v>6078592</v>
      </c>
      <c r="W528" s="42">
        <v>5817400</v>
      </c>
      <c r="X528" s="42"/>
      <c r="Y528" s="42"/>
      <c r="Z528" s="42">
        <v>2000000</v>
      </c>
      <c r="AA528" s="127">
        <f t="shared" si="8"/>
        <v>45566583.129999995</v>
      </c>
      <c r="AB528" s="43" t="s">
        <v>246</v>
      </c>
    </row>
    <row r="529" spans="1:28" ht="12.75">
      <c r="A529" s="38">
        <v>36137</v>
      </c>
      <c r="B529" s="39" t="s">
        <v>39</v>
      </c>
      <c r="C529" s="40" t="s">
        <v>158</v>
      </c>
      <c r="D529" s="40" t="s">
        <v>821</v>
      </c>
      <c r="E529" s="48"/>
      <c r="F529" s="48"/>
      <c r="G529" s="48"/>
      <c r="H529" s="48">
        <v>152</v>
      </c>
      <c r="I529" s="48">
        <v>28</v>
      </c>
      <c r="J529" s="48"/>
      <c r="K529" s="49"/>
      <c r="L529" s="49"/>
      <c r="M529" s="49"/>
      <c r="N529" s="49"/>
      <c r="O529" s="49"/>
      <c r="P529" s="49"/>
      <c r="Q529" s="49"/>
      <c r="R529" s="49"/>
      <c r="S529" s="49"/>
      <c r="T529" s="41"/>
      <c r="U529" s="42">
        <v>3155788.44</v>
      </c>
      <c r="V529" s="42"/>
      <c r="W529" s="42"/>
      <c r="X529" s="42"/>
      <c r="Y529" s="42"/>
      <c r="Z529" s="42"/>
      <c r="AA529" s="127">
        <f t="shared" si="8"/>
        <v>3155788.44</v>
      </c>
      <c r="AB529" s="43" t="s">
        <v>20</v>
      </c>
    </row>
    <row r="530" spans="1:28" ht="16.5">
      <c r="A530" s="38">
        <v>36138</v>
      </c>
      <c r="B530" s="39" t="s">
        <v>820</v>
      </c>
      <c r="C530" s="40" t="s">
        <v>176</v>
      </c>
      <c r="D530" s="40" t="s">
        <v>821</v>
      </c>
      <c r="E530" s="48"/>
      <c r="F530" s="48"/>
      <c r="G530" s="48"/>
      <c r="H530" s="48">
        <v>506</v>
      </c>
      <c r="I530" s="48">
        <v>133</v>
      </c>
      <c r="J530" s="48"/>
      <c r="K530" s="49"/>
      <c r="L530" s="49"/>
      <c r="M530" s="49"/>
      <c r="N530" s="49"/>
      <c r="O530" s="49"/>
      <c r="P530" s="49"/>
      <c r="Q530" s="49"/>
      <c r="R530" s="49"/>
      <c r="S530" s="49"/>
      <c r="T530" s="41"/>
      <c r="U530" s="42">
        <v>14398314</v>
      </c>
      <c r="V530" s="42">
        <v>2877056</v>
      </c>
      <c r="W530" s="42"/>
      <c r="X530" s="42"/>
      <c r="Y530" s="42"/>
      <c r="Z530" s="42"/>
      <c r="AA530" s="127">
        <f t="shared" si="8"/>
        <v>17275370</v>
      </c>
      <c r="AB530" s="43" t="s">
        <v>781</v>
      </c>
    </row>
    <row r="531" spans="1:28" ht="16.5">
      <c r="A531" s="38">
        <v>36138</v>
      </c>
      <c r="B531" s="39" t="s">
        <v>820</v>
      </c>
      <c r="C531" s="40" t="s">
        <v>643</v>
      </c>
      <c r="D531" s="40" t="s">
        <v>821</v>
      </c>
      <c r="E531" s="48"/>
      <c r="F531" s="48"/>
      <c r="G531" s="48"/>
      <c r="H531" s="48">
        <f>530*5</f>
        <v>2650</v>
      </c>
      <c r="I531" s="48">
        <v>530</v>
      </c>
      <c r="J531" s="48"/>
      <c r="K531" s="49"/>
      <c r="L531" s="49"/>
      <c r="M531" s="49"/>
      <c r="N531" s="49"/>
      <c r="O531" s="49"/>
      <c r="P531" s="49"/>
      <c r="Q531" s="49"/>
      <c r="R531" s="49"/>
      <c r="S531" s="49"/>
      <c r="T531" s="41"/>
      <c r="U531" s="42"/>
      <c r="V531" s="42"/>
      <c r="W531" s="42"/>
      <c r="X531" s="42"/>
      <c r="Y531" s="42"/>
      <c r="Z531" s="42"/>
      <c r="AA531" s="127">
        <f t="shared" si="8"/>
        <v>0</v>
      </c>
      <c r="AB531" s="43" t="s">
        <v>788</v>
      </c>
    </row>
    <row r="532" spans="1:28" ht="22.5">
      <c r="A532" s="38">
        <v>36138</v>
      </c>
      <c r="B532" s="39" t="s">
        <v>882</v>
      </c>
      <c r="C532" s="40" t="s">
        <v>138</v>
      </c>
      <c r="D532" s="40" t="s">
        <v>821</v>
      </c>
      <c r="E532" s="48"/>
      <c r="F532" s="48"/>
      <c r="G532" s="48"/>
      <c r="H532" s="48">
        <f>278*5</f>
        <v>1390</v>
      </c>
      <c r="I532" s="48">
        <v>278</v>
      </c>
      <c r="J532" s="48"/>
      <c r="K532" s="49"/>
      <c r="L532" s="49"/>
      <c r="M532" s="49"/>
      <c r="N532" s="49"/>
      <c r="O532" s="49"/>
      <c r="P532" s="49"/>
      <c r="Q532" s="49"/>
      <c r="R532" s="49"/>
      <c r="S532" s="49"/>
      <c r="T532" s="41"/>
      <c r="U532" s="42">
        <v>23702280</v>
      </c>
      <c r="V532" s="42">
        <v>6013696</v>
      </c>
      <c r="W532" s="42"/>
      <c r="X532" s="42"/>
      <c r="Y532" s="42"/>
      <c r="Z532" s="42"/>
      <c r="AA532" s="127">
        <f t="shared" si="8"/>
        <v>29715976</v>
      </c>
      <c r="AB532" s="43"/>
    </row>
    <row r="533" spans="1:28" ht="12.75">
      <c r="A533" s="38">
        <v>36138</v>
      </c>
      <c r="B533" s="39" t="s">
        <v>49</v>
      </c>
      <c r="C533" s="40" t="s">
        <v>426</v>
      </c>
      <c r="D533" s="40" t="s">
        <v>821</v>
      </c>
      <c r="E533" s="48"/>
      <c r="F533" s="48"/>
      <c r="G533" s="48"/>
      <c r="H533" s="48">
        <f>11*5</f>
        <v>55</v>
      </c>
      <c r="I533" s="48">
        <v>11</v>
      </c>
      <c r="J533" s="48"/>
      <c r="K533" s="49"/>
      <c r="L533" s="49"/>
      <c r="M533" s="49"/>
      <c r="N533" s="49"/>
      <c r="O533" s="49"/>
      <c r="P533" s="49"/>
      <c r="Q533" s="49"/>
      <c r="R533" s="49"/>
      <c r="S533" s="49"/>
      <c r="T533" s="41" t="s">
        <v>94</v>
      </c>
      <c r="U533" s="42"/>
      <c r="V533" s="42"/>
      <c r="W533" s="42"/>
      <c r="X533" s="42"/>
      <c r="Y533" s="42"/>
      <c r="Z533" s="42"/>
      <c r="AA533" s="127">
        <f t="shared" si="8"/>
        <v>0</v>
      </c>
      <c r="AB533" s="43" t="s">
        <v>746</v>
      </c>
    </row>
    <row r="534" spans="1:28" ht="12.75">
      <c r="A534" s="38">
        <v>36139</v>
      </c>
      <c r="B534" s="39" t="s">
        <v>820</v>
      </c>
      <c r="C534" s="40" t="s">
        <v>180</v>
      </c>
      <c r="D534" s="40" t="s">
        <v>821</v>
      </c>
      <c r="E534" s="48"/>
      <c r="F534" s="48"/>
      <c r="G534" s="48"/>
      <c r="H534" s="48">
        <v>215</v>
      </c>
      <c r="I534" s="48">
        <v>50</v>
      </c>
      <c r="J534" s="48"/>
      <c r="K534" s="49"/>
      <c r="L534" s="49"/>
      <c r="M534" s="49"/>
      <c r="N534" s="49"/>
      <c r="O534" s="49"/>
      <c r="P534" s="49"/>
      <c r="Q534" s="49"/>
      <c r="R534" s="49"/>
      <c r="S534" s="49"/>
      <c r="T534" s="41"/>
      <c r="U534" s="42"/>
      <c r="V534" s="42"/>
      <c r="W534" s="42"/>
      <c r="X534" s="42"/>
      <c r="Y534" s="42"/>
      <c r="Z534" s="42"/>
      <c r="AA534" s="127">
        <f t="shared" si="8"/>
        <v>0</v>
      </c>
      <c r="AB534" s="43" t="s">
        <v>789</v>
      </c>
    </row>
    <row r="535" spans="1:28" ht="12.75">
      <c r="A535" s="38">
        <v>36139</v>
      </c>
      <c r="B535" s="39" t="s">
        <v>203</v>
      </c>
      <c r="C535" s="40" t="s">
        <v>794</v>
      </c>
      <c r="D535" s="40" t="s">
        <v>821</v>
      </c>
      <c r="E535" s="48"/>
      <c r="F535" s="48"/>
      <c r="G535" s="48"/>
      <c r="H535" s="48">
        <f>70*5</f>
        <v>350</v>
      </c>
      <c r="I535" s="48">
        <v>70</v>
      </c>
      <c r="J535" s="48"/>
      <c r="K535" s="49"/>
      <c r="L535" s="49"/>
      <c r="M535" s="49"/>
      <c r="N535" s="49"/>
      <c r="O535" s="49"/>
      <c r="P535" s="49"/>
      <c r="Q535" s="49"/>
      <c r="R535" s="49"/>
      <c r="S535" s="49"/>
      <c r="T535" s="41"/>
      <c r="U535" s="42">
        <v>7459186</v>
      </c>
      <c r="V535" s="42">
        <v>1514240</v>
      </c>
      <c r="W535" s="42"/>
      <c r="X535" s="42"/>
      <c r="Y535" s="42"/>
      <c r="Z535" s="42"/>
      <c r="AA535" s="127">
        <f t="shared" si="8"/>
        <v>8973426</v>
      </c>
      <c r="AB535" s="43" t="s">
        <v>110</v>
      </c>
    </row>
    <row r="536" spans="1:28" ht="33">
      <c r="A536" s="38">
        <v>36139</v>
      </c>
      <c r="B536" s="39" t="s">
        <v>59</v>
      </c>
      <c r="C536" s="40" t="s">
        <v>501</v>
      </c>
      <c r="D536" s="40" t="s">
        <v>821</v>
      </c>
      <c r="E536" s="48"/>
      <c r="F536" s="48"/>
      <c r="G536" s="48"/>
      <c r="H536" s="48">
        <v>3000</v>
      </c>
      <c r="I536" s="48">
        <v>600</v>
      </c>
      <c r="J536" s="48"/>
      <c r="K536" s="49"/>
      <c r="L536" s="49"/>
      <c r="M536" s="49"/>
      <c r="N536" s="49"/>
      <c r="O536" s="49"/>
      <c r="P536" s="49"/>
      <c r="Q536" s="49"/>
      <c r="R536" s="49"/>
      <c r="S536" s="49"/>
      <c r="T536" s="41"/>
      <c r="U536" s="42">
        <v>56774498</v>
      </c>
      <c r="V536" s="42">
        <v>12439200</v>
      </c>
      <c r="W536" s="42">
        <v>1026600</v>
      </c>
      <c r="X536" s="42">
        <v>2204000</v>
      </c>
      <c r="Y536" s="42"/>
      <c r="Z536" s="42"/>
      <c r="AA536" s="127">
        <f t="shared" si="8"/>
        <v>72444298</v>
      </c>
      <c r="AB536" s="43" t="s">
        <v>247</v>
      </c>
    </row>
    <row r="537" spans="1:28" ht="22.5">
      <c r="A537" s="38">
        <v>36139</v>
      </c>
      <c r="B537" s="39" t="s">
        <v>59</v>
      </c>
      <c r="C537" s="40" t="s">
        <v>248</v>
      </c>
      <c r="D537" s="40" t="s">
        <v>821</v>
      </c>
      <c r="E537" s="48"/>
      <c r="F537" s="48"/>
      <c r="G537" s="48"/>
      <c r="H537" s="48">
        <v>1750</v>
      </c>
      <c r="I537" s="48">
        <v>350</v>
      </c>
      <c r="J537" s="48"/>
      <c r="K537" s="49"/>
      <c r="L537" s="49"/>
      <c r="M537" s="49"/>
      <c r="N537" s="49"/>
      <c r="O537" s="49"/>
      <c r="P537" s="49"/>
      <c r="Q537" s="49"/>
      <c r="R537" s="49"/>
      <c r="S537" s="49"/>
      <c r="T537" s="41"/>
      <c r="U537" s="42">
        <v>40862115.5</v>
      </c>
      <c r="V537" s="42">
        <v>7256200</v>
      </c>
      <c r="W537" s="42">
        <v>684400</v>
      </c>
      <c r="X537" s="42">
        <v>1763200</v>
      </c>
      <c r="Y537" s="42"/>
      <c r="Z537" s="42"/>
      <c r="AA537" s="127">
        <f t="shared" si="8"/>
        <v>50565915.5</v>
      </c>
      <c r="AB537" s="43"/>
    </row>
    <row r="538" spans="1:28" ht="12.75">
      <c r="A538" s="38">
        <v>36139</v>
      </c>
      <c r="B538" s="39" t="s">
        <v>59</v>
      </c>
      <c r="C538" s="40" t="s">
        <v>249</v>
      </c>
      <c r="D538" s="40" t="s">
        <v>821</v>
      </c>
      <c r="E538" s="48"/>
      <c r="F538" s="48"/>
      <c r="G538" s="48"/>
      <c r="H538" s="48">
        <v>1575</v>
      </c>
      <c r="I538" s="48">
        <v>357</v>
      </c>
      <c r="J538" s="48"/>
      <c r="K538" s="49"/>
      <c r="L538" s="49"/>
      <c r="M538" s="49"/>
      <c r="N538" s="49"/>
      <c r="O538" s="49"/>
      <c r="P538" s="49"/>
      <c r="Q538" s="49"/>
      <c r="R538" s="49"/>
      <c r="S538" s="49"/>
      <c r="T538" s="41"/>
      <c r="U538" s="42">
        <v>1905666</v>
      </c>
      <c r="V538" s="42">
        <v>4326400</v>
      </c>
      <c r="W538" s="42">
        <v>4106400</v>
      </c>
      <c r="X538" s="42"/>
      <c r="Y538" s="42"/>
      <c r="Z538" s="42"/>
      <c r="AA538" s="127">
        <f t="shared" si="8"/>
        <v>10338466</v>
      </c>
      <c r="AB538" s="43"/>
    </row>
    <row r="539" spans="1:28" ht="12.75">
      <c r="A539" s="38">
        <v>36139</v>
      </c>
      <c r="B539" s="39" t="s">
        <v>59</v>
      </c>
      <c r="C539" s="40" t="s">
        <v>60</v>
      </c>
      <c r="D539" s="40" t="s">
        <v>821</v>
      </c>
      <c r="E539" s="48"/>
      <c r="F539" s="48"/>
      <c r="G539" s="48"/>
      <c r="H539" s="48">
        <f>157*5</f>
        <v>785</v>
      </c>
      <c r="I539" s="48">
        <v>157</v>
      </c>
      <c r="J539" s="48"/>
      <c r="K539" s="49"/>
      <c r="L539" s="49"/>
      <c r="M539" s="49"/>
      <c r="N539" s="49"/>
      <c r="O539" s="49"/>
      <c r="P539" s="49"/>
      <c r="Q539" s="49"/>
      <c r="R539" s="49"/>
      <c r="S539" s="49"/>
      <c r="T539" s="41"/>
      <c r="U539" s="42">
        <v>1523265.81</v>
      </c>
      <c r="V539" s="42">
        <v>3396224</v>
      </c>
      <c r="W539" s="42">
        <v>3223524</v>
      </c>
      <c r="X539" s="42"/>
      <c r="Y539" s="42"/>
      <c r="Z539" s="42"/>
      <c r="AA539" s="127">
        <f t="shared" si="8"/>
        <v>8143013.8100000005</v>
      </c>
      <c r="AB539" s="43"/>
    </row>
    <row r="540" spans="1:28" ht="22.5">
      <c r="A540" s="38">
        <v>36139</v>
      </c>
      <c r="B540" s="39" t="s">
        <v>882</v>
      </c>
      <c r="C540" s="40" t="s">
        <v>751</v>
      </c>
      <c r="D540" s="40" t="s">
        <v>821</v>
      </c>
      <c r="E540" s="48"/>
      <c r="F540" s="48"/>
      <c r="G540" s="48"/>
      <c r="H540" s="48">
        <f>255+222</f>
        <v>477</v>
      </c>
      <c r="I540" s="48">
        <v>95</v>
      </c>
      <c r="J540" s="48"/>
      <c r="K540" s="49"/>
      <c r="L540" s="49"/>
      <c r="M540" s="49"/>
      <c r="N540" s="49"/>
      <c r="O540" s="49"/>
      <c r="P540" s="49"/>
      <c r="Q540" s="49"/>
      <c r="R540" s="49"/>
      <c r="S540" s="49"/>
      <c r="T540" s="41"/>
      <c r="U540" s="42">
        <v>7467767.4799999995</v>
      </c>
      <c r="V540" s="42"/>
      <c r="W540" s="42"/>
      <c r="X540" s="42"/>
      <c r="Y540" s="42"/>
      <c r="Z540" s="42"/>
      <c r="AA540" s="127">
        <f t="shared" si="8"/>
        <v>7467767.4799999995</v>
      </c>
      <c r="AB540" s="43"/>
    </row>
    <row r="541" spans="1:28" ht="57.75">
      <c r="A541" s="38">
        <v>36139</v>
      </c>
      <c r="B541" s="39" t="s">
        <v>904</v>
      </c>
      <c r="C541" s="40" t="s">
        <v>875</v>
      </c>
      <c r="D541" s="40" t="s">
        <v>821</v>
      </c>
      <c r="E541" s="48"/>
      <c r="F541" s="48"/>
      <c r="G541" s="48"/>
      <c r="H541" s="48">
        <f>4839*5</f>
        <v>24195</v>
      </c>
      <c r="I541" s="48">
        <f>693+205+720+310+756+280+320+630+310+615</f>
        <v>4839</v>
      </c>
      <c r="J541" s="48"/>
      <c r="K541" s="49"/>
      <c r="L541" s="49"/>
      <c r="M541" s="49"/>
      <c r="N541" s="49"/>
      <c r="O541" s="49"/>
      <c r="P541" s="49"/>
      <c r="Q541" s="49"/>
      <c r="R541" s="49"/>
      <c r="S541" s="49"/>
      <c r="T541" s="41"/>
      <c r="U541" s="42">
        <v>17962840</v>
      </c>
      <c r="V541" s="42">
        <v>31098000</v>
      </c>
      <c r="W541" s="42">
        <v>6843999.999999999</v>
      </c>
      <c r="X541" s="42">
        <v>5730400</v>
      </c>
      <c r="Y541" s="42"/>
      <c r="Z541" s="42"/>
      <c r="AA541" s="127">
        <f t="shared" si="8"/>
        <v>61635240</v>
      </c>
      <c r="AB541" s="43" t="s">
        <v>111</v>
      </c>
    </row>
    <row r="542" spans="1:28" ht="41.25">
      <c r="A542" s="38">
        <v>36141</v>
      </c>
      <c r="B542" s="39" t="s">
        <v>100</v>
      </c>
      <c r="C542" s="40" t="s">
        <v>410</v>
      </c>
      <c r="D542" s="40" t="s">
        <v>821</v>
      </c>
      <c r="E542" s="48"/>
      <c r="F542" s="48"/>
      <c r="G542" s="48"/>
      <c r="H542" s="48">
        <f>37*5</f>
        <v>185</v>
      </c>
      <c r="I542" s="48">
        <v>37</v>
      </c>
      <c r="J542" s="48"/>
      <c r="K542" s="49"/>
      <c r="L542" s="49"/>
      <c r="M542" s="49"/>
      <c r="N542" s="49"/>
      <c r="O542" s="49"/>
      <c r="P542" s="49"/>
      <c r="Q542" s="49"/>
      <c r="R542" s="49"/>
      <c r="S542" s="49"/>
      <c r="T542" s="41"/>
      <c r="U542" s="42"/>
      <c r="V542" s="42"/>
      <c r="W542" s="42"/>
      <c r="X542" s="42"/>
      <c r="Y542" s="42"/>
      <c r="Z542" s="42"/>
      <c r="AA542" s="127">
        <f t="shared" si="8"/>
        <v>0</v>
      </c>
      <c r="AB542" s="43" t="s">
        <v>139</v>
      </c>
    </row>
    <row r="543" spans="1:28" ht="16.5">
      <c r="A543" s="38">
        <v>36141</v>
      </c>
      <c r="B543" s="39" t="s">
        <v>100</v>
      </c>
      <c r="C543" s="40" t="s">
        <v>613</v>
      </c>
      <c r="D543" s="40" t="s">
        <v>821</v>
      </c>
      <c r="E543" s="48"/>
      <c r="F543" s="48"/>
      <c r="G543" s="48"/>
      <c r="H543" s="48">
        <v>12</v>
      </c>
      <c r="I543" s="48">
        <v>3</v>
      </c>
      <c r="J543" s="48"/>
      <c r="K543" s="49">
        <v>3</v>
      </c>
      <c r="L543" s="49"/>
      <c r="M543" s="49"/>
      <c r="N543" s="49"/>
      <c r="O543" s="49"/>
      <c r="P543" s="49"/>
      <c r="Q543" s="49"/>
      <c r="R543" s="49"/>
      <c r="S543" s="49"/>
      <c r="T543" s="41"/>
      <c r="U543" s="42"/>
      <c r="V543" s="42"/>
      <c r="W543" s="42"/>
      <c r="X543" s="42"/>
      <c r="Y543" s="42"/>
      <c r="Z543" s="42"/>
      <c r="AA543" s="127">
        <f t="shared" si="8"/>
        <v>0</v>
      </c>
      <c r="AB543" s="43" t="s">
        <v>711</v>
      </c>
    </row>
    <row r="544" spans="1:28" ht="16.5">
      <c r="A544" s="38">
        <v>36141</v>
      </c>
      <c r="B544" s="39" t="s">
        <v>100</v>
      </c>
      <c r="C544" s="40" t="s">
        <v>712</v>
      </c>
      <c r="D544" s="40" t="s">
        <v>821</v>
      </c>
      <c r="E544" s="48">
        <v>1</v>
      </c>
      <c r="F544" s="48">
        <v>2</v>
      </c>
      <c r="G544" s="48"/>
      <c r="H544" s="48"/>
      <c r="I544" s="48"/>
      <c r="J544" s="48"/>
      <c r="K544" s="49"/>
      <c r="L544" s="49"/>
      <c r="M544" s="49"/>
      <c r="N544" s="49"/>
      <c r="O544" s="49"/>
      <c r="P544" s="49"/>
      <c r="Q544" s="49"/>
      <c r="R544" s="49"/>
      <c r="S544" s="49"/>
      <c r="T544" s="41" t="s">
        <v>94</v>
      </c>
      <c r="U544" s="42"/>
      <c r="V544" s="42"/>
      <c r="W544" s="42"/>
      <c r="X544" s="42"/>
      <c r="Y544" s="42"/>
      <c r="Z544" s="42"/>
      <c r="AA544" s="127">
        <f t="shared" si="8"/>
        <v>0</v>
      </c>
      <c r="AB544" s="43" t="s">
        <v>718</v>
      </c>
    </row>
    <row r="545" spans="1:28" ht="12.75">
      <c r="A545" s="38">
        <v>36143</v>
      </c>
      <c r="B545" s="39" t="s">
        <v>820</v>
      </c>
      <c r="C545" s="40" t="s">
        <v>193</v>
      </c>
      <c r="D545" s="40" t="s">
        <v>891</v>
      </c>
      <c r="E545" s="48"/>
      <c r="F545" s="48"/>
      <c r="G545" s="48"/>
      <c r="H545" s="48">
        <v>80</v>
      </c>
      <c r="I545" s="48">
        <v>20</v>
      </c>
      <c r="J545" s="48">
        <v>1</v>
      </c>
      <c r="K545" s="49"/>
      <c r="L545" s="49"/>
      <c r="M545" s="49"/>
      <c r="N545" s="49"/>
      <c r="O545" s="49"/>
      <c r="P545" s="49"/>
      <c r="Q545" s="49"/>
      <c r="R545" s="49"/>
      <c r="S545" s="49"/>
      <c r="T545" s="41"/>
      <c r="U545" s="42"/>
      <c r="V545" s="42"/>
      <c r="W545" s="42"/>
      <c r="X545" s="42"/>
      <c r="Y545" s="42"/>
      <c r="Z545" s="42"/>
      <c r="AA545" s="127">
        <f t="shared" si="8"/>
        <v>0</v>
      </c>
      <c r="AB545" s="43"/>
    </row>
    <row r="546" spans="1:28" ht="33">
      <c r="A546" s="38">
        <v>36143</v>
      </c>
      <c r="B546" s="39" t="s">
        <v>829</v>
      </c>
      <c r="C546" s="40" t="s">
        <v>117</v>
      </c>
      <c r="D546" s="40" t="s">
        <v>821</v>
      </c>
      <c r="E546" s="48"/>
      <c r="F546" s="48"/>
      <c r="G546" s="48"/>
      <c r="H546" s="48">
        <v>300</v>
      </c>
      <c r="I546" s="48">
        <v>60</v>
      </c>
      <c r="J546" s="48"/>
      <c r="K546" s="49"/>
      <c r="L546" s="49"/>
      <c r="M546" s="49"/>
      <c r="N546" s="49"/>
      <c r="O546" s="49"/>
      <c r="P546" s="49"/>
      <c r="Q546" s="49"/>
      <c r="R546" s="49"/>
      <c r="S546" s="49"/>
      <c r="T546" s="41"/>
      <c r="U546" s="42"/>
      <c r="V546" s="42"/>
      <c r="W546" s="42"/>
      <c r="X546" s="42"/>
      <c r="Y546" s="42"/>
      <c r="Z546" s="42"/>
      <c r="AA546" s="127">
        <f t="shared" si="8"/>
        <v>0</v>
      </c>
      <c r="AB546" s="43" t="s">
        <v>562</v>
      </c>
    </row>
    <row r="547" spans="1:28" ht="33" outlineLevel="1">
      <c r="A547" s="38">
        <v>35929</v>
      </c>
      <c r="B547" s="39" t="s">
        <v>172</v>
      </c>
      <c r="C547" s="40" t="s">
        <v>875</v>
      </c>
      <c r="D547" s="40" t="s">
        <v>821</v>
      </c>
      <c r="E547" s="48"/>
      <c r="F547" s="48"/>
      <c r="G547" s="48"/>
      <c r="H547" s="48">
        <v>10092</v>
      </c>
      <c r="I547" s="48">
        <v>1928</v>
      </c>
      <c r="J547" s="48"/>
      <c r="K547" s="49">
        <v>493</v>
      </c>
      <c r="L547" s="49">
        <v>25</v>
      </c>
      <c r="M547" s="49"/>
      <c r="N547" s="49">
        <v>8</v>
      </c>
      <c r="O547" s="49"/>
      <c r="P547" s="49"/>
      <c r="Q547" s="49"/>
      <c r="R547" s="49">
        <v>13</v>
      </c>
      <c r="S547" s="49">
        <v>19</v>
      </c>
      <c r="T547" s="41"/>
      <c r="U547" s="42"/>
      <c r="V547" s="42"/>
      <c r="W547" s="42"/>
      <c r="X547" s="42"/>
      <c r="Y547" s="42"/>
      <c r="Z547" s="42">
        <v>6900000</v>
      </c>
      <c r="AA547" s="127">
        <f t="shared" si="8"/>
        <v>6900000</v>
      </c>
      <c r="AB547" s="43" t="s">
        <v>173</v>
      </c>
    </row>
    <row r="548" spans="1:28" ht="12.75">
      <c r="A548" s="38">
        <v>36144</v>
      </c>
      <c r="B548" s="39" t="s">
        <v>820</v>
      </c>
      <c r="C548" s="40" t="s">
        <v>790</v>
      </c>
      <c r="D548" s="40" t="s">
        <v>107</v>
      </c>
      <c r="E548" s="48"/>
      <c r="F548" s="48"/>
      <c r="G548" s="48"/>
      <c r="H548" s="48">
        <v>40</v>
      </c>
      <c r="I548" s="48">
        <v>8</v>
      </c>
      <c r="J548" s="48"/>
      <c r="K548" s="49"/>
      <c r="L548" s="49"/>
      <c r="M548" s="49"/>
      <c r="N548" s="49"/>
      <c r="O548" s="49"/>
      <c r="P548" s="49"/>
      <c r="Q548" s="49"/>
      <c r="R548" s="49"/>
      <c r="S548" s="49"/>
      <c r="T548" s="41"/>
      <c r="U548" s="42"/>
      <c r="V548" s="42"/>
      <c r="W548" s="42"/>
      <c r="X548" s="42"/>
      <c r="Y548" s="42"/>
      <c r="Z548" s="42"/>
      <c r="AA548" s="127">
        <f t="shared" si="8"/>
        <v>0</v>
      </c>
      <c r="AB548" s="43"/>
    </row>
    <row r="549" spans="1:28" ht="12.75">
      <c r="A549" s="38">
        <v>36144</v>
      </c>
      <c r="B549" s="39" t="s">
        <v>882</v>
      </c>
      <c r="C549" s="40" t="s">
        <v>331</v>
      </c>
      <c r="D549" s="40" t="s">
        <v>821</v>
      </c>
      <c r="E549" s="48"/>
      <c r="F549" s="48"/>
      <c r="G549" s="48"/>
      <c r="H549" s="48">
        <v>754</v>
      </c>
      <c r="I549" s="48">
        <v>150</v>
      </c>
      <c r="J549" s="48">
        <v>47</v>
      </c>
      <c r="K549" s="49">
        <v>80</v>
      </c>
      <c r="L549" s="49"/>
      <c r="M549" s="49"/>
      <c r="N549" s="49"/>
      <c r="O549" s="49"/>
      <c r="P549" s="49"/>
      <c r="Q549" s="49"/>
      <c r="R549" s="49"/>
      <c r="S549" s="49"/>
      <c r="T549" s="41"/>
      <c r="U549" s="42">
        <v>12789000</v>
      </c>
      <c r="V549" s="42">
        <v>3244800</v>
      </c>
      <c r="W549" s="42"/>
      <c r="X549" s="42"/>
      <c r="Y549" s="42"/>
      <c r="Z549" s="42"/>
      <c r="AA549" s="127">
        <f t="shared" si="8"/>
        <v>16033800</v>
      </c>
      <c r="AB549" s="43"/>
    </row>
    <row r="550" spans="1:28" ht="16.5">
      <c r="A550" s="38">
        <v>36144</v>
      </c>
      <c r="B550" s="39" t="s">
        <v>100</v>
      </c>
      <c r="C550" s="40" t="s">
        <v>784</v>
      </c>
      <c r="D550" s="40" t="s">
        <v>821</v>
      </c>
      <c r="E550" s="48"/>
      <c r="F550" s="48"/>
      <c r="G550" s="48"/>
      <c r="H550" s="48">
        <v>232</v>
      </c>
      <c r="I550" s="48">
        <v>32</v>
      </c>
      <c r="J550" s="48"/>
      <c r="K550" s="49">
        <v>32</v>
      </c>
      <c r="L550" s="49"/>
      <c r="M550" s="49"/>
      <c r="N550" s="49"/>
      <c r="O550" s="49"/>
      <c r="P550" s="49"/>
      <c r="Q550" s="49"/>
      <c r="R550" s="49"/>
      <c r="S550" s="49"/>
      <c r="T550" s="41"/>
      <c r="U550" s="42">
        <v>5233956.16</v>
      </c>
      <c r="V550" s="42">
        <v>692224</v>
      </c>
      <c r="W550" s="42"/>
      <c r="X550" s="42"/>
      <c r="Y550" s="42"/>
      <c r="Z550" s="42"/>
      <c r="AA550" s="127">
        <f t="shared" si="8"/>
        <v>5926180.16</v>
      </c>
      <c r="AB550" s="43" t="s">
        <v>785</v>
      </c>
    </row>
    <row r="551" spans="1:28" ht="12.75">
      <c r="A551" s="38">
        <v>36147</v>
      </c>
      <c r="B551" s="39" t="s">
        <v>13</v>
      </c>
      <c r="C551" s="40" t="s">
        <v>382</v>
      </c>
      <c r="D551" s="40" t="s">
        <v>821</v>
      </c>
      <c r="E551" s="48"/>
      <c r="F551" s="48"/>
      <c r="G551" s="48"/>
      <c r="H551" s="48">
        <v>400</v>
      </c>
      <c r="I551" s="48">
        <v>100</v>
      </c>
      <c r="J551" s="48"/>
      <c r="K551" s="49">
        <v>45</v>
      </c>
      <c r="L551" s="49"/>
      <c r="M551" s="49"/>
      <c r="N551" s="49"/>
      <c r="O551" s="49"/>
      <c r="P551" s="49"/>
      <c r="Q551" s="49"/>
      <c r="R551" s="49"/>
      <c r="S551" s="49"/>
      <c r="T551" s="41" t="s">
        <v>94</v>
      </c>
      <c r="U551" s="42"/>
      <c r="V551" s="42">
        <v>2163200</v>
      </c>
      <c r="W551" s="42"/>
      <c r="X551" s="42"/>
      <c r="Y551" s="42"/>
      <c r="Z551" s="42"/>
      <c r="AA551" s="127">
        <f t="shared" si="8"/>
        <v>2163200</v>
      </c>
      <c r="AB551" s="43"/>
    </row>
    <row r="552" spans="1:28" ht="12.75">
      <c r="A552" s="38">
        <v>36150</v>
      </c>
      <c r="B552" s="39" t="s">
        <v>882</v>
      </c>
      <c r="C552" s="40" t="s">
        <v>883</v>
      </c>
      <c r="D552" s="40" t="s">
        <v>821</v>
      </c>
      <c r="E552" s="48"/>
      <c r="F552" s="48"/>
      <c r="G552" s="48"/>
      <c r="H552" s="48"/>
      <c r="I552" s="48"/>
      <c r="J552" s="48"/>
      <c r="K552" s="49"/>
      <c r="L552" s="49"/>
      <c r="M552" s="49"/>
      <c r="N552" s="49"/>
      <c r="O552" s="49"/>
      <c r="P552" s="49"/>
      <c r="Q552" s="49"/>
      <c r="R552" s="49"/>
      <c r="S552" s="49"/>
      <c r="T552" s="41"/>
      <c r="U552" s="42"/>
      <c r="V552" s="42"/>
      <c r="W552" s="42"/>
      <c r="X552" s="42">
        <v>4408000</v>
      </c>
      <c r="Y552" s="42"/>
      <c r="Z552" s="42"/>
      <c r="AA552" s="127">
        <f t="shared" si="8"/>
        <v>4408000</v>
      </c>
      <c r="AB552" s="43" t="s">
        <v>394</v>
      </c>
    </row>
    <row r="553" spans="1:28" ht="12.75">
      <c r="A553" s="38">
        <v>36153</v>
      </c>
      <c r="B553" s="39" t="s">
        <v>877</v>
      </c>
      <c r="C553" s="40" t="s">
        <v>875</v>
      </c>
      <c r="D553" s="40" t="s">
        <v>821</v>
      </c>
      <c r="E553" s="48"/>
      <c r="F553" s="48"/>
      <c r="G553" s="48"/>
      <c r="H553" s="48"/>
      <c r="I553" s="48"/>
      <c r="J553" s="48"/>
      <c r="K553" s="49"/>
      <c r="L553" s="49"/>
      <c r="M553" s="49"/>
      <c r="N553" s="49"/>
      <c r="O553" s="49"/>
      <c r="P553" s="49"/>
      <c r="Q553" s="49"/>
      <c r="R553" s="49"/>
      <c r="S553" s="49"/>
      <c r="T553" s="41"/>
      <c r="U553" s="42"/>
      <c r="V553" s="42"/>
      <c r="W553" s="42"/>
      <c r="X553" s="42">
        <v>2997440</v>
      </c>
      <c r="Y553" s="42"/>
      <c r="Z553" s="42"/>
      <c r="AA553" s="127">
        <f t="shared" si="8"/>
        <v>2997440</v>
      </c>
      <c r="AB553" s="43"/>
    </row>
    <row r="554" spans="1:28" ht="16.5">
      <c r="A554" s="38">
        <v>36156</v>
      </c>
      <c r="B554" s="39" t="s">
        <v>203</v>
      </c>
      <c r="C554" s="40" t="s">
        <v>796</v>
      </c>
      <c r="D554" s="40" t="s">
        <v>707</v>
      </c>
      <c r="E554" s="48">
        <v>11</v>
      </c>
      <c r="F554" s="48">
        <v>70</v>
      </c>
      <c r="G554" s="48"/>
      <c r="H554" s="48">
        <v>130</v>
      </c>
      <c r="I554" s="48">
        <v>30</v>
      </c>
      <c r="J554" s="48">
        <v>6</v>
      </c>
      <c r="K554" s="49">
        <v>24</v>
      </c>
      <c r="L554" s="49"/>
      <c r="M554" s="49"/>
      <c r="N554" s="49"/>
      <c r="O554" s="49"/>
      <c r="P554" s="49"/>
      <c r="Q554" s="49"/>
      <c r="R554" s="49"/>
      <c r="S554" s="49"/>
      <c r="T554" s="41"/>
      <c r="U554" s="42">
        <v>3196794</v>
      </c>
      <c r="V554" s="42">
        <v>648960</v>
      </c>
      <c r="W554" s="42"/>
      <c r="X554" s="42"/>
      <c r="Y554" s="42"/>
      <c r="Z554" s="42"/>
      <c r="AA554" s="127">
        <f t="shared" si="8"/>
        <v>3845754</v>
      </c>
      <c r="AB554" s="43" t="s">
        <v>786</v>
      </c>
    </row>
    <row r="555" spans="1:28" ht="12.75">
      <c r="A555" s="38"/>
      <c r="B555" s="39"/>
      <c r="C555" s="40"/>
      <c r="D555" s="40"/>
      <c r="E555" s="48"/>
      <c r="F555" s="48"/>
      <c r="G555" s="48"/>
      <c r="H555" s="48"/>
      <c r="I555" s="48"/>
      <c r="J555" s="48"/>
      <c r="K555" s="49"/>
      <c r="L555" s="49"/>
      <c r="M555" s="49"/>
      <c r="N555" s="49"/>
      <c r="O555" s="49"/>
      <c r="P555" s="49"/>
      <c r="Q555" s="49"/>
      <c r="R555" s="49"/>
      <c r="S555" s="49"/>
      <c r="T555" s="41"/>
      <c r="U555" s="42"/>
      <c r="V555" s="42"/>
      <c r="W555" s="42"/>
      <c r="X555" s="42"/>
      <c r="Y555" s="42"/>
      <c r="Z555" s="42"/>
      <c r="AA555" s="127">
        <f t="shared" si="8"/>
        <v>0</v>
      </c>
      <c r="AB555" s="43"/>
    </row>
    <row r="556" spans="1:28" ht="12.75">
      <c r="A556" s="38"/>
      <c r="B556" s="39"/>
      <c r="C556" s="40"/>
      <c r="D556" s="129"/>
      <c r="E556" s="48"/>
      <c r="F556" s="48"/>
      <c r="G556" s="48"/>
      <c r="H556" s="48"/>
      <c r="I556" s="48"/>
      <c r="J556" s="48"/>
      <c r="K556" s="48"/>
      <c r="L556" s="49"/>
      <c r="M556" s="49"/>
      <c r="N556" s="49"/>
      <c r="O556" s="49"/>
      <c r="P556" s="49"/>
      <c r="Q556" s="49"/>
      <c r="R556" s="49"/>
      <c r="S556" s="49"/>
      <c r="T556" s="41"/>
      <c r="U556" s="48"/>
      <c r="V556" s="48"/>
      <c r="W556" s="48"/>
      <c r="X556" s="48"/>
      <c r="Y556" s="48"/>
      <c r="Z556" s="48"/>
      <c r="AA556" s="130">
        <f t="shared" si="8"/>
        <v>0</v>
      </c>
      <c r="AB556" s="43"/>
    </row>
    <row r="557" spans="1:28" ht="13.5" thickBot="1">
      <c r="A557" s="23"/>
      <c r="B557" s="24"/>
      <c r="C557" s="25"/>
      <c r="D557" s="25"/>
      <c r="E557" s="50"/>
      <c r="F557" s="50"/>
      <c r="G557" s="50"/>
      <c r="H557" s="50"/>
      <c r="I557" s="50"/>
      <c r="J557" s="50"/>
      <c r="K557" s="51"/>
      <c r="L557" s="51"/>
      <c r="M557" s="51"/>
      <c r="N557" s="51"/>
      <c r="O557" s="51"/>
      <c r="P557" s="51"/>
      <c r="Q557" s="51"/>
      <c r="R557" s="51"/>
      <c r="S557" s="51"/>
      <c r="T557" s="30"/>
      <c r="U557" s="131"/>
      <c r="V557" s="132"/>
      <c r="W557" s="132"/>
      <c r="X557" s="131"/>
      <c r="Y557" s="131"/>
      <c r="Z557" s="131"/>
      <c r="AA557" s="131">
        <f t="shared" si="8"/>
        <v>0</v>
      </c>
      <c r="AB557" s="27"/>
    </row>
    <row r="558" spans="1:27" ht="18.75" thickTop="1">
      <c r="A558" s="150" t="s">
        <v>907</v>
      </c>
      <c r="B558" s="151"/>
      <c r="C558" s="151"/>
      <c r="D558" s="151"/>
      <c r="E558" s="53">
        <f>SUM(E3:E557)</f>
        <v>125</v>
      </c>
      <c r="F558" s="53">
        <f aca="true" t="shared" si="9" ref="F558:S558">SUM(F3:F557)</f>
        <v>262</v>
      </c>
      <c r="G558" s="53">
        <f t="shared" si="9"/>
        <v>48</v>
      </c>
      <c r="H558" s="53">
        <f t="shared" si="9"/>
        <v>258341</v>
      </c>
      <c r="I558" s="53">
        <f t="shared" si="9"/>
        <v>51938</v>
      </c>
      <c r="J558" s="53">
        <f t="shared" si="9"/>
        <v>1950</v>
      </c>
      <c r="K558" s="53">
        <f t="shared" si="9"/>
        <v>9080</v>
      </c>
      <c r="L558" s="53">
        <f t="shared" si="9"/>
        <v>191</v>
      </c>
      <c r="M558" s="53">
        <f t="shared" si="9"/>
        <v>67</v>
      </c>
      <c r="N558" s="53">
        <f t="shared" si="9"/>
        <v>64</v>
      </c>
      <c r="O558" s="53">
        <f t="shared" si="9"/>
        <v>138</v>
      </c>
      <c r="P558" s="53">
        <f t="shared" si="9"/>
        <v>9</v>
      </c>
      <c r="Q558" s="53">
        <f t="shared" si="9"/>
        <v>3</v>
      </c>
      <c r="R558" s="53">
        <f t="shared" si="9"/>
        <v>120</v>
      </c>
      <c r="S558" s="53">
        <f t="shared" si="9"/>
        <v>37</v>
      </c>
      <c r="T558" s="54"/>
      <c r="U558" s="53">
        <f aca="true" t="shared" si="10" ref="U558:AA558">SUM(U3:U557)</f>
        <v>2344750377.04</v>
      </c>
      <c r="V558" s="53">
        <f t="shared" si="10"/>
        <v>934689797.33</v>
      </c>
      <c r="W558" s="53">
        <f t="shared" si="10"/>
        <v>313238097.44</v>
      </c>
      <c r="X558" s="53">
        <f t="shared" si="10"/>
        <v>110905280</v>
      </c>
      <c r="Y558" s="53">
        <f t="shared" si="10"/>
        <v>29703509</v>
      </c>
      <c r="Z558" s="53">
        <f t="shared" si="10"/>
        <v>128310000</v>
      </c>
      <c r="AA558" s="53">
        <f t="shared" si="10"/>
        <v>3861597060.8099995</v>
      </c>
    </row>
    <row r="559" spans="22:27" ht="12.75">
      <c r="V559" s="7"/>
      <c r="W559" s="7"/>
      <c r="AA559" s="125"/>
    </row>
    <row r="560" spans="22:28" ht="12.75">
      <c r="V560" s="7"/>
      <c r="W560" s="7"/>
      <c r="AB560" s="125"/>
    </row>
    <row r="561" spans="22:23" ht="12.75">
      <c r="V561" s="7"/>
      <c r="W561" s="7"/>
    </row>
    <row r="562" spans="22:23" ht="12.75">
      <c r="V562" s="7"/>
      <c r="W562" s="7"/>
    </row>
    <row r="563" spans="22:23" ht="12.75">
      <c r="V563" s="7"/>
      <c r="W563" s="7"/>
    </row>
    <row r="564" spans="1:23" ht="12.75">
      <c r="A564" s="34"/>
      <c r="V564" s="7"/>
      <c r="W564" s="7"/>
    </row>
    <row r="565" spans="22:23" ht="12.75">
      <c r="V565" s="7"/>
      <c r="W565" s="7"/>
    </row>
    <row r="566" spans="22:23" ht="12.75">
      <c r="V566" s="7"/>
      <c r="W566" s="7"/>
    </row>
    <row r="567" spans="22:23" ht="12.75">
      <c r="V567" s="7"/>
      <c r="W567" s="7"/>
    </row>
    <row r="568" spans="22:23" ht="12.75">
      <c r="V568" s="7"/>
      <c r="W568" s="7"/>
    </row>
    <row r="569" spans="22:23" ht="12.75">
      <c r="V569" s="7"/>
      <c r="W569" s="7"/>
    </row>
    <row r="570" spans="22:23" ht="12.75">
      <c r="V570" s="7"/>
      <c r="W570" s="7"/>
    </row>
    <row r="571" spans="22:23" ht="12.75">
      <c r="V571" s="7"/>
      <c r="W571" s="7"/>
    </row>
    <row r="572" spans="22:23" ht="12.75">
      <c r="V572" s="7"/>
      <c r="W572" s="7"/>
    </row>
    <row r="573" spans="22:23" ht="12.75">
      <c r="V573" s="7"/>
      <c r="W573" s="7"/>
    </row>
    <row r="574" spans="22:23" ht="12.75">
      <c r="V574" s="7"/>
      <c r="W574" s="7"/>
    </row>
    <row r="575" spans="22:23" ht="12.75">
      <c r="V575" s="7"/>
      <c r="W575" s="7"/>
    </row>
    <row r="576" spans="22:23" ht="12.75">
      <c r="V576" s="7"/>
      <c r="W576" s="7"/>
    </row>
    <row r="577" spans="22:23" ht="12.75">
      <c r="V577" s="7"/>
      <c r="W577" s="7"/>
    </row>
    <row r="578" spans="22:23" ht="12.75">
      <c r="V578" s="7"/>
      <c r="W578" s="7"/>
    </row>
    <row r="579" spans="22:23" ht="12.75">
      <c r="V579" s="7"/>
      <c r="W579" s="7"/>
    </row>
    <row r="580" spans="22:23" ht="12.75">
      <c r="V580" s="7"/>
      <c r="W580" s="7"/>
    </row>
    <row r="581" spans="22:23" ht="12.75">
      <c r="V581" s="7"/>
      <c r="W581" s="7"/>
    </row>
    <row r="582" spans="22:23" ht="12.75">
      <c r="V582" s="7"/>
      <c r="W582" s="7"/>
    </row>
    <row r="583" spans="22:23" ht="12.75">
      <c r="V583" s="7"/>
      <c r="W583" s="7"/>
    </row>
    <row r="584" spans="22:23" ht="12.75">
      <c r="V584" s="7"/>
      <c r="W584" s="7"/>
    </row>
    <row r="585" spans="22:23" ht="12.75">
      <c r="V585" s="7"/>
      <c r="W585" s="7"/>
    </row>
    <row r="586" spans="22:23" ht="12.75">
      <c r="V586" s="7"/>
      <c r="W586" s="7"/>
    </row>
    <row r="587" spans="22:23" ht="12.75">
      <c r="V587" s="7"/>
      <c r="W587" s="7"/>
    </row>
    <row r="588" spans="22:23" ht="12.75">
      <c r="V588" s="7"/>
      <c r="W588" s="7"/>
    </row>
    <row r="589" spans="22:23" ht="12.75">
      <c r="V589" s="7"/>
      <c r="W589" s="7"/>
    </row>
    <row r="590" spans="22:23" ht="12.75">
      <c r="V590" s="7"/>
      <c r="W590" s="7"/>
    </row>
    <row r="591" spans="22:23" ht="12.75">
      <c r="V591" s="7"/>
      <c r="W591" s="7"/>
    </row>
    <row r="592" spans="22:23" ht="12.75">
      <c r="V592" s="7"/>
      <c r="W592" s="7"/>
    </row>
    <row r="593" spans="22:23" ht="12.75">
      <c r="V593" s="7"/>
      <c r="W593" s="7"/>
    </row>
    <row r="594" spans="22:23" ht="12.75">
      <c r="V594" s="7"/>
      <c r="W594" s="7"/>
    </row>
    <row r="595" spans="22:23" ht="12.75">
      <c r="V595" s="7"/>
      <c r="W595" s="7"/>
    </row>
    <row r="596" spans="22:23" ht="12.75">
      <c r="V596" s="7"/>
      <c r="W596" s="7"/>
    </row>
    <row r="597" spans="22:23" ht="12.75">
      <c r="V597" s="7"/>
      <c r="W597" s="7"/>
    </row>
    <row r="598" spans="22:23" ht="12.75">
      <c r="V598" s="7"/>
      <c r="W598" s="7"/>
    </row>
    <row r="599" spans="22:23" ht="12.75">
      <c r="V599" s="7"/>
      <c r="W599" s="7"/>
    </row>
    <row r="600" spans="22:23" ht="12.75">
      <c r="V600" s="7"/>
      <c r="W600" s="7"/>
    </row>
    <row r="601" spans="22:23" ht="12.75">
      <c r="V601" s="7"/>
      <c r="W601" s="7"/>
    </row>
    <row r="602" spans="22:23" ht="12.75">
      <c r="V602" s="7"/>
      <c r="W602" s="7"/>
    </row>
    <row r="603" spans="22:23" ht="12.75">
      <c r="V603" s="7"/>
      <c r="W603" s="7"/>
    </row>
    <row r="604" spans="22:23" ht="12.75">
      <c r="V604" s="7"/>
      <c r="W604" s="7"/>
    </row>
    <row r="605" spans="22:23" ht="12.75">
      <c r="V605" s="7"/>
      <c r="W605" s="7"/>
    </row>
    <row r="606" spans="22:23" ht="12.75">
      <c r="V606" s="7"/>
      <c r="W606" s="7"/>
    </row>
    <row r="607" spans="22:23" ht="12.75">
      <c r="V607" s="7"/>
      <c r="W607" s="7"/>
    </row>
    <row r="608" spans="22:23" ht="12.75">
      <c r="V608" s="7"/>
      <c r="W608" s="7"/>
    </row>
    <row r="609" spans="22:23" ht="12.75">
      <c r="V609" s="7"/>
      <c r="W609" s="7"/>
    </row>
    <row r="610" spans="22:23" ht="12.75">
      <c r="V610" s="7"/>
      <c r="W610" s="7"/>
    </row>
    <row r="611" spans="22:23" ht="12.75">
      <c r="V611" s="7"/>
      <c r="W611" s="7"/>
    </row>
    <row r="612" spans="22:23" ht="12.75">
      <c r="V612" s="7"/>
      <c r="W612" s="7"/>
    </row>
    <row r="613" spans="22:23" ht="12.75">
      <c r="V613" s="7"/>
      <c r="W613" s="7"/>
    </row>
    <row r="614" spans="22:23" ht="12.75">
      <c r="V614" s="7"/>
      <c r="W614" s="7"/>
    </row>
    <row r="615" spans="22:23" ht="12.75">
      <c r="V615" s="7"/>
      <c r="W615" s="7"/>
    </row>
    <row r="616" spans="22:23" ht="12.75">
      <c r="V616" s="7"/>
      <c r="W616" s="7"/>
    </row>
    <row r="617" spans="22:23" ht="12.75">
      <c r="V617" s="7"/>
      <c r="W617" s="7"/>
    </row>
    <row r="618" spans="22:23" ht="12.75">
      <c r="V618" s="7"/>
      <c r="W618" s="7"/>
    </row>
    <row r="619" spans="22:23" ht="12.75">
      <c r="V619" s="7"/>
      <c r="W619" s="7"/>
    </row>
    <row r="620" spans="22:23" ht="12.75">
      <c r="V620" s="7"/>
      <c r="W620" s="7"/>
    </row>
    <row r="621" spans="22:23" ht="12.75">
      <c r="V621" s="7"/>
      <c r="W621" s="7"/>
    </row>
    <row r="622" spans="22:23" ht="12.75">
      <c r="V622" s="7"/>
      <c r="W622" s="7"/>
    </row>
    <row r="623" spans="22:23" ht="12.75">
      <c r="V623" s="7"/>
      <c r="W623" s="7"/>
    </row>
    <row r="624" spans="22:23" ht="12.75">
      <c r="V624" s="7"/>
      <c r="W624" s="7"/>
    </row>
    <row r="625" spans="22:23" ht="12.75">
      <c r="V625" s="7"/>
      <c r="W625" s="7"/>
    </row>
    <row r="626" spans="22:23" ht="12.75">
      <c r="V626" s="3"/>
      <c r="W626" s="3"/>
    </row>
    <row r="627" spans="22:23" ht="12.75">
      <c r="V627" s="3"/>
      <c r="W627" s="3"/>
    </row>
    <row r="628" spans="22:23" ht="12.75">
      <c r="V628" s="3"/>
      <c r="W628" s="3"/>
    </row>
    <row r="629" spans="22:23" ht="12.75">
      <c r="V629" s="3"/>
      <c r="W629" s="3"/>
    </row>
    <row r="630" spans="22:23" ht="12.75">
      <c r="V630" s="3"/>
      <c r="W630" s="3"/>
    </row>
    <row r="631" spans="22:23" ht="12.75">
      <c r="V631" s="3"/>
      <c r="W631" s="3"/>
    </row>
    <row r="632" spans="22:23" ht="12.75">
      <c r="V632" s="3"/>
      <c r="W632" s="3"/>
    </row>
    <row r="633" spans="22:23" ht="12.75">
      <c r="V633" s="3"/>
      <c r="W633" s="3"/>
    </row>
    <row r="634" spans="22:23" ht="12.75">
      <c r="V634" s="3"/>
      <c r="W634" s="3"/>
    </row>
    <row r="635" spans="22:23" ht="12.75">
      <c r="V635" s="3"/>
      <c r="W635" s="3"/>
    </row>
    <row r="636" spans="22:23" ht="12.75">
      <c r="V636" s="3"/>
      <c r="W636" s="3"/>
    </row>
    <row r="637" spans="22:23" ht="12.75">
      <c r="V637" s="3"/>
      <c r="W637" s="3"/>
    </row>
    <row r="638" spans="22:23" ht="12.75">
      <c r="V638" s="3"/>
      <c r="W638" s="3"/>
    </row>
    <row r="639" spans="22:23" ht="12.75">
      <c r="V639" s="3"/>
      <c r="W639" s="3"/>
    </row>
    <row r="640" spans="22:23" ht="12.75">
      <c r="V640" s="3"/>
      <c r="W640" s="3"/>
    </row>
    <row r="641" spans="22:23" ht="12.75">
      <c r="V641" s="3"/>
      <c r="W641" s="3"/>
    </row>
    <row r="642" spans="22:23" ht="12.75">
      <c r="V642" s="3"/>
      <c r="W642" s="3"/>
    </row>
    <row r="643" spans="22:23" ht="12.75">
      <c r="V643" s="3"/>
      <c r="W643" s="3"/>
    </row>
    <row r="644" spans="22:23" ht="12.75">
      <c r="V644" s="3"/>
      <c r="W644" s="3"/>
    </row>
    <row r="645" spans="22:23" ht="12.75">
      <c r="V645" s="3"/>
      <c r="W645" s="3"/>
    </row>
    <row r="646" spans="22:23" ht="12.75">
      <c r="V646" s="3"/>
      <c r="W646" s="3"/>
    </row>
    <row r="647" spans="22:23" ht="12.75">
      <c r="V647" s="3"/>
      <c r="W647" s="3"/>
    </row>
    <row r="648" spans="22:23" ht="12.75">
      <c r="V648" s="3"/>
      <c r="W648" s="3"/>
    </row>
    <row r="649" spans="22:23" ht="12.75">
      <c r="V649" s="3"/>
      <c r="W649" s="3"/>
    </row>
    <row r="650" spans="22:23" ht="12.75">
      <c r="V650" s="3"/>
      <c r="W650" s="3"/>
    </row>
    <row r="651" spans="22:23" ht="12.75">
      <c r="V651" s="3"/>
      <c r="W651" s="3"/>
    </row>
    <row r="652" spans="22:23" ht="12.75">
      <c r="V652" s="3"/>
      <c r="W652" s="3"/>
    </row>
    <row r="653" spans="22:23" ht="12.75">
      <c r="V653" s="3"/>
      <c r="W653" s="3"/>
    </row>
    <row r="654" spans="22:23" ht="12.75">
      <c r="V654" s="3"/>
      <c r="W654" s="3"/>
    </row>
    <row r="655" spans="22:23" ht="12.75">
      <c r="V655" s="3"/>
      <c r="W655" s="3"/>
    </row>
    <row r="656" spans="22:23" ht="12.75">
      <c r="V656" s="3"/>
      <c r="W656" s="3"/>
    </row>
    <row r="657" spans="22:23" ht="12.75">
      <c r="V657" s="3"/>
      <c r="W657" s="3"/>
    </row>
    <row r="658" spans="22:23" ht="12.75">
      <c r="V658" s="3"/>
      <c r="W658" s="3"/>
    </row>
    <row r="659" spans="22:23" ht="12.75">
      <c r="V659" s="3"/>
      <c r="W659" s="3"/>
    </row>
    <row r="660" spans="22:23" ht="12.75">
      <c r="V660" s="3"/>
      <c r="W660" s="3"/>
    </row>
    <row r="661" spans="22:23" ht="12.75">
      <c r="V661" s="3"/>
      <c r="W661" s="3"/>
    </row>
    <row r="662" spans="22:23" ht="12.75">
      <c r="V662" s="3"/>
      <c r="W662" s="3"/>
    </row>
    <row r="663" spans="22:23" ht="12.75">
      <c r="V663" s="3"/>
      <c r="W663" s="3"/>
    </row>
    <row r="664" spans="22:23" ht="12.75">
      <c r="V664" s="3"/>
      <c r="W664" s="3"/>
    </row>
    <row r="665" spans="22:23" ht="12.75">
      <c r="V665" s="3"/>
      <c r="W665" s="3"/>
    </row>
    <row r="666" spans="22:23" ht="12.75">
      <c r="V666" s="3"/>
      <c r="W666" s="3"/>
    </row>
    <row r="667" spans="22:23" ht="12.75">
      <c r="V667" s="3"/>
      <c r="W667" s="3"/>
    </row>
    <row r="668" spans="22:23" ht="12.75">
      <c r="V668" s="3"/>
      <c r="W668" s="3"/>
    </row>
    <row r="669" spans="22:23" ht="12.75">
      <c r="V669" s="3"/>
      <c r="W669" s="3"/>
    </row>
    <row r="670" spans="22:23" ht="12.75">
      <c r="V670" s="3"/>
      <c r="W670" s="3"/>
    </row>
    <row r="671" spans="22:23" ht="12.75">
      <c r="V671" s="3"/>
      <c r="W671" s="3"/>
    </row>
    <row r="672" spans="22:23" ht="12.75">
      <c r="V672" s="3"/>
      <c r="W672" s="3"/>
    </row>
    <row r="673" spans="22:23" ht="12.75">
      <c r="V673" s="3"/>
      <c r="W673" s="3"/>
    </row>
    <row r="674" spans="22:23" ht="12.75">
      <c r="V674" s="3"/>
      <c r="W674" s="3"/>
    </row>
    <row r="675" spans="22:23" ht="12.75">
      <c r="V675" s="3"/>
      <c r="W675" s="3"/>
    </row>
    <row r="676" spans="22:23" ht="12.75">
      <c r="V676" s="3"/>
      <c r="W676" s="3"/>
    </row>
    <row r="677" spans="22:23" ht="12.75">
      <c r="V677" s="3"/>
      <c r="W677" s="3"/>
    </row>
    <row r="678" spans="22:23" ht="12.75">
      <c r="V678" s="3"/>
      <c r="W678" s="3"/>
    </row>
    <row r="679" spans="22:23" ht="12.75">
      <c r="V679" s="3"/>
      <c r="W679" s="3"/>
    </row>
    <row r="680" spans="22:23" ht="12.75">
      <c r="V680" s="3"/>
      <c r="W680" s="3"/>
    </row>
    <row r="681" spans="22:23" ht="12.75">
      <c r="V681" s="3"/>
      <c r="W681" s="3"/>
    </row>
    <row r="682" spans="22:23" ht="12.75">
      <c r="V682" s="3"/>
      <c r="W682" s="3"/>
    </row>
    <row r="683" spans="22:23" ht="12.75">
      <c r="V683" s="3"/>
      <c r="W683" s="3"/>
    </row>
    <row r="684" spans="22:23" ht="12.75">
      <c r="V684" s="3"/>
      <c r="W684" s="3"/>
    </row>
    <row r="685" spans="22:23" ht="12.75">
      <c r="V685" s="3"/>
      <c r="W685" s="3"/>
    </row>
    <row r="686" spans="22:23" ht="12.75">
      <c r="V686" s="3"/>
      <c r="W686" s="3"/>
    </row>
    <row r="687" spans="22:23" ht="12.75">
      <c r="V687" s="3"/>
      <c r="W687" s="3"/>
    </row>
    <row r="688" spans="22:23" ht="12.75">
      <c r="V688" s="3"/>
      <c r="W688" s="3"/>
    </row>
    <row r="689" spans="22:23" ht="12.75">
      <c r="V689" s="3"/>
      <c r="W689" s="3"/>
    </row>
    <row r="690" spans="22:23" ht="12.75">
      <c r="V690" s="3"/>
      <c r="W690" s="3"/>
    </row>
    <row r="691" spans="22:23" ht="12.75">
      <c r="V691" s="3"/>
      <c r="W691" s="3"/>
    </row>
    <row r="692" spans="22:23" ht="12.75">
      <c r="V692" s="3"/>
      <c r="W692" s="3"/>
    </row>
    <row r="693" spans="22:23" ht="12.75">
      <c r="V693" s="3"/>
      <c r="W693" s="3"/>
    </row>
    <row r="694" spans="22:23" ht="12.75">
      <c r="V694" s="3"/>
      <c r="W694" s="3"/>
    </row>
    <row r="695" spans="22:23" ht="12.75">
      <c r="V695" s="3"/>
      <c r="W695" s="3"/>
    </row>
    <row r="696" spans="22:23" ht="12.75">
      <c r="V696" s="3"/>
      <c r="W696" s="3"/>
    </row>
    <row r="697" spans="22:23" ht="12.75">
      <c r="V697" s="3"/>
      <c r="W697" s="3"/>
    </row>
    <row r="698" spans="22:23" ht="12.75">
      <c r="V698" s="3"/>
      <c r="W698" s="3"/>
    </row>
    <row r="699" spans="22:23" ht="12.75">
      <c r="V699" s="3"/>
      <c r="W699" s="3"/>
    </row>
    <row r="700" spans="22:23" ht="12.75">
      <c r="V700" s="3"/>
      <c r="W700" s="3"/>
    </row>
    <row r="701" spans="22:23" ht="12.75">
      <c r="V701" s="3"/>
      <c r="W701" s="3"/>
    </row>
    <row r="702" spans="22:23" ht="12.75">
      <c r="V702" s="3"/>
      <c r="W702" s="3"/>
    </row>
    <row r="703" spans="22:23" ht="12.75">
      <c r="V703" s="3"/>
      <c r="W703" s="3"/>
    </row>
    <row r="704" spans="22:23" ht="12.75">
      <c r="V704" s="3"/>
      <c r="W704" s="3"/>
    </row>
    <row r="705" spans="22:23" ht="12.75">
      <c r="V705" s="3"/>
      <c r="W705" s="3"/>
    </row>
    <row r="706" spans="22:23" ht="12.75">
      <c r="V706" s="3"/>
      <c r="W706" s="3"/>
    </row>
    <row r="707" spans="22:23" ht="12.75">
      <c r="V707" s="3"/>
      <c r="W707" s="3"/>
    </row>
    <row r="708" spans="22:23" ht="12.75">
      <c r="V708" s="3"/>
      <c r="W708" s="3"/>
    </row>
    <row r="709" spans="22:23" ht="12.75">
      <c r="V709" s="3"/>
      <c r="W709" s="3"/>
    </row>
    <row r="710" spans="22:23" ht="12.75">
      <c r="V710" s="3"/>
      <c r="W710" s="3"/>
    </row>
    <row r="711" spans="22:23" ht="12.75">
      <c r="V711" s="3"/>
      <c r="W711" s="3"/>
    </row>
    <row r="712" spans="22:23" ht="12.75">
      <c r="V712" s="3"/>
      <c r="W712" s="3"/>
    </row>
    <row r="713" spans="22:23" ht="12.75">
      <c r="V713" s="3"/>
      <c r="W713" s="3"/>
    </row>
    <row r="714" spans="22:23" ht="12.75">
      <c r="V714" s="3"/>
      <c r="W714" s="3"/>
    </row>
    <row r="715" spans="22:23" ht="12.75">
      <c r="V715" s="3"/>
      <c r="W715" s="3"/>
    </row>
    <row r="716" spans="22:23" ht="12.75">
      <c r="V716" s="3"/>
      <c r="W716" s="3"/>
    </row>
    <row r="717" spans="22:23" ht="12.75">
      <c r="V717" s="3"/>
      <c r="W717" s="3"/>
    </row>
    <row r="718" spans="22:23" ht="12.75">
      <c r="V718" s="3"/>
      <c r="W718" s="3"/>
    </row>
    <row r="719" spans="22:23" ht="12.75">
      <c r="V719" s="3"/>
      <c r="W719" s="3"/>
    </row>
    <row r="720" spans="22:23" ht="12.75">
      <c r="V720" s="3"/>
      <c r="W720" s="3"/>
    </row>
    <row r="721" spans="22:23" ht="12.75">
      <c r="V721" s="3"/>
      <c r="W721" s="3"/>
    </row>
    <row r="722" spans="22:23" ht="12.75">
      <c r="V722" s="3"/>
      <c r="W722" s="3"/>
    </row>
    <row r="723" spans="22:23" ht="12.75">
      <c r="V723" s="3"/>
      <c r="W723" s="3"/>
    </row>
    <row r="724" spans="22:23" ht="12.75">
      <c r="V724" s="3"/>
      <c r="W724" s="3"/>
    </row>
    <row r="725" spans="22:23" ht="12.75">
      <c r="V725" s="3"/>
      <c r="W725" s="3"/>
    </row>
    <row r="726" spans="22:23" ht="12.75">
      <c r="V726" s="3"/>
      <c r="W726" s="3"/>
    </row>
    <row r="727" spans="22:23" ht="12.75">
      <c r="V727" s="3"/>
      <c r="W727" s="3"/>
    </row>
    <row r="728" spans="22:23" ht="12.75">
      <c r="V728" s="3"/>
      <c r="W728" s="3"/>
    </row>
    <row r="729" spans="22:23" ht="12.75">
      <c r="V729" s="3"/>
      <c r="W729" s="3"/>
    </row>
    <row r="730" spans="22:23" ht="12.75">
      <c r="V730" s="3"/>
      <c r="W730" s="3"/>
    </row>
    <row r="731" spans="22:23" ht="12.75">
      <c r="V731" s="3"/>
      <c r="W731" s="3"/>
    </row>
    <row r="732" spans="22:23" ht="12.75">
      <c r="V732" s="3"/>
      <c r="W732" s="3"/>
    </row>
    <row r="733" spans="22:23" ht="12.75">
      <c r="V733" s="3"/>
      <c r="W733" s="3"/>
    </row>
    <row r="734" spans="22:23" ht="12.75">
      <c r="V734" s="3"/>
      <c r="W734" s="3"/>
    </row>
    <row r="735" spans="22:23" ht="12.75">
      <c r="V735" s="3"/>
      <c r="W735" s="3"/>
    </row>
    <row r="736" spans="22:23" ht="12.75">
      <c r="V736" s="3"/>
      <c r="W736" s="3"/>
    </row>
    <row r="737" spans="22:23" ht="12.75">
      <c r="V737" s="3"/>
      <c r="W737" s="3"/>
    </row>
    <row r="738" spans="22:23" ht="12.75">
      <c r="V738" s="3"/>
      <c r="W738" s="3"/>
    </row>
    <row r="739" spans="22:23" ht="12.75">
      <c r="V739" s="3"/>
      <c r="W739" s="3"/>
    </row>
    <row r="740" spans="22:23" ht="12.75">
      <c r="V740" s="3"/>
      <c r="W740" s="3"/>
    </row>
    <row r="741" spans="22:23" ht="12.75">
      <c r="V741" s="3"/>
      <c r="W741" s="3"/>
    </row>
    <row r="742" spans="22:23" ht="12.75">
      <c r="V742" s="3"/>
      <c r="W742" s="3"/>
    </row>
    <row r="743" spans="22:23" ht="12.75">
      <c r="V743" s="3"/>
      <c r="W743" s="3"/>
    </row>
    <row r="744" spans="22:23" ht="12.75">
      <c r="V744" s="3"/>
      <c r="W744" s="3"/>
    </row>
    <row r="745" spans="22:23" ht="12.75">
      <c r="V745" s="3"/>
      <c r="W745" s="3"/>
    </row>
    <row r="746" spans="22:23" ht="12.75">
      <c r="V746" s="3"/>
      <c r="W746" s="3"/>
    </row>
    <row r="747" spans="22:23" ht="12.75">
      <c r="V747" s="3"/>
      <c r="W747" s="3"/>
    </row>
    <row r="748" spans="22:23" ht="12.75">
      <c r="V748" s="3"/>
      <c r="W748" s="3"/>
    </row>
    <row r="749" spans="22:23" ht="12.75">
      <c r="V749" s="3"/>
      <c r="W749" s="3"/>
    </row>
    <row r="750" spans="22:23" ht="12.75">
      <c r="V750" s="3"/>
      <c r="W750" s="3"/>
    </row>
    <row r="751" spans="22:23" ht="12.75">
      <c r="V751" s="3"/>
      <c r="W751" s="3"/>
    </row>
    <row r="752" spans="22:23" ht="12.75">
      <c r="V752" s="3"/>
      <c r="W752" s="3"/>
    </row>
    <row r="753" spans="22:23" ht="12.75">
      <c r="V753" s="3"/>
      <c r="W753" s="3"/>
    </row>
    <row r="754" spans="22:23" ht="12.75">
      <c r="V754" s="3"/>
      <c r="W754" s="3"/>
    </row>
    <row r="755" spans="22:23" ht="12.75">
      <c r="V755" s="3"/>
      <c r="W755" s="3"/>
    </row>
    <row r="756" spans="22:23" ht="12.75">
      <c r="V756" s="3"/>
      <c r="W756" s="3"/>
    </row>
    <row r="757" spans="22:23" ht="12.75">
      <c r="V757" s="3"/>
      <c r="W757" s="3"/>
    </row>
    <row r="758" spans="22:23" ht="12.75">
      <c r="V758" s="3"/>
      <c r="W758" s="3"/>
    </row>
    <row r="759" spans="22:23" ht="12.75">
      <c r="V759" s="3"/>
      <c r="W759" s="3"/>
    </row>
    <row r="760" spans="22:23" ht="12.75">
      <c r="V760" s="3"/>
      <c r="W760" s="3"/>
    </row>
    <row r="761" spans="22:23" ht="12.75">
      <c r="V761" s="3"/>
      <c r="W761" s="3"/>
    </row>
    <row r="762" spans="22:23" ht="12.75">
      <c r="V762" s="3"/>
      <c r="W762" s="3"/>
    </row>
    <row r="763" spans="22:23" ht="12.75">
      <c r="V763" s="3"/>
      <c r="W763" s="3"/>
    </row>
    <row r="764" spans="22:23" ht="12.75">
      <c r="V764" s="3"/>
      <c r="W764" s="3"/>
    </row>
    <row r="765" spans="22:23" ht="12.75">
      <c r="V765" s="3"/>
      <c r="W765" s="3"/>
    </row>
    <row r="766" spans="22:23" ht="12.75">
      <c r="V766" s="3"/>
      <c r="W766" s="3"/>
    </row>
    <row r="767" spans="22:23" ht="12.75">
      <c r="V767" s="3"/>
      <c r="W767" s="3"/>
    </row>
    <row r="768" spans="22:23" ht="12.75">
      <c r="V768" s="3"/>
      <c r="W768" s="3"/>
    </row>
    <row r="769" spans="22:23" ht="12.75">
      <c r="V769" s="3"/>
      <c r="W769" s="3"/>
    </row>
    <row r="770" spans="22:23" ht="12.75">
      <c r="V770" s="3"/>
      <c r="W770" s="3"/>
    </row>
    <row r="771" spans="22:23" ht="12.75">
      <c r="V771" s="3"/>
      <c r="W771" s="3"/>
    </row>
    <row r="772" spans="22:23" ht="12.75">
      <c r="V772" s="3"/>
      <c r="W772" s="3"/>
    </row>
    <row r="773" spans="22:23" ht="12.75">
      <c r="V773" s="3"/>
      <c r="W773" s="3"/>
    </row>
    <row r="774" spans="22:23" ht="12.75">
      <c r="V774" s="3"/>
      <c r="W774" s="3"/>
    </row>
    <row r="775" spans="22:23" ht="12.75">
      <c r="V775" s="3"/>
      <c r="W775" s="3"/>
    </row>
    <row r="776" spans="22:23" ht="12.75">
      <c r="V776" s="3"/>
      <c r="W776" s="3"/>
    </row>
    <row r="777" spans="22:23" ht="12.75">
      <c r="V777" s="3"/>
      <c r="W777" s="3"/>
    </row>
    <row r="778" spans="22:23" ht="12.75">
      <c r="V778" s="3"/>
      <c r="W778" s="3"/>
    </row>
    <row r="779" spans="22:23" ht="12.75">
      <c r="V779" s="3"/>
      <c r="W779" s="3"/>
    </row>
    <row r="780" spans="22:23" ht="12.75">
      <c r="V780" s="3"/>
      <c r="W780" s="3"/>
    </row>
    <row r="781" spans="22:23" ht="12.75">
      <c r="V781" s="3"/>
      <c r="W781" s="3"/>
    </row>
    <row r="782" spans="22:23" ht="12.75">
      <c r="V782" s="3"/>
      <c r="W782" s="3"/>
    </row>
    <row r="783" spans="22:23" ht="12.75">
      <c r="V783" s="3"/>
      <c r="W783" s="3"/>
    </row>
    <row r="784" spans="22:23" ht="12.75">
      <c r="V784" s="3"/>
      <c r="W784" s="3"/>
    </row>
    <row r="785" spans="22:23" ht="12.75">
      <c r="V785" s="3"/>
      <c r="W785" s="3"/>
    </row>
    <row r="786" spans="22:23" ht="12.75">
      <c r="V786" s="3"/>
      <c r="W786" s="3"/>
    </row>
    <row r="787" spans="22:23" ht="12.75">
      <c r="V787" s="3"/>
      <c r="W787" s="3"/>
    </row>
    <row r="788" spans="22:23" ht="12.75">
      <c r="V788" s="3"/>
      <c r="W788" s="3"/>
    </row>
    <row r="789" spans="22:23" ht="12.75">
      <c r="V789" s="3"/>
      <c r="W789" s="3"/>
    </row>
    <row r="790" spans="22:23" ht="12.75">
      <c r="V790" s="3"/>
      <c r="W790" s="3"/>
    </row>
    <row r="791" spans="22:23" ht="12.75">
      <c r="V791" s="3"/>
      <c r="W791" s="3"/>
    </row>
    <row r="792" spans="22:23" ht="12.75">
      <c r="V792" s="3"/>
      <c r="W792" s="3"/>
    </row>
    <row r="793" spans="22:23" ht="12.75">
      <c r="V793" s="3"/>
      <c r="W793" s="3"/>
    </row>
    <row r="794" spans="22:23" ht="12.75">
      <c r="V794" s="3"/>
      <c r="W794" s="3"/>
    </row>
    <row r="795" spans="22:23" ht="12.75">
      <c r="V795" s="3"/>
      <c r="W795" s="3"/>
    </row>
    <row r="796" spans="22:23" ht="12.75">
      <c r="V796" s="3"/>
      <c r="W796" s="3"/>
    </row>
    <row r="797" spans="22:23" ht="12.75">
      <c r="V797" s="3"/>
      <c r="W797" s="3"/>
    </row>
    <row r="798" spans="22:23" ht="12.75">
      <c r="V798" s="3"/>
      <c r="W798" s="3"/>
    </row>
    <row r="799" spans="22:23" ht="12.75">
      <c r="V799" s="3"/>
      <c r="W799" s="3"/>
    </row>
    <row r="800" spans="22:23" ht="12.75">
      <c r="V800" s="3"/>
      <c r="W800" s="3"/>
    </row>
    <row r="801" spans="22:23" ht="12.75">
      <c r="V801" s="3"/>
      <c r="W801" s="3"/>
    </row>
    <row r="802" spans="22:23" ht="12.75">
      <c r="V802" s="3"/>
      <c r="W802" s="3"/>
    </row>
    <row r="803" spans="22:23" ht="12.75">
      <c r="V803" s="3"/>
      <c r="W803" s="3"/>
    </row>
    <row r="804" spans="22:23" ht="12.75">
      <c r="V804" s="3"/>
      <c r="W804" s="3"/>
    </row>
    <row r="805" spans="22:23" ht="12.75">
      <c r="V805" s="3"/>
      <c r="W805" s="3"/>
    </row>
    <row r="806" spans="22:23" ht="12.75">
      <c r="V806" s="3"/>
      <c r="W806" s="3"/>
    </row>
    <row r="807" spans="22:23" ht="12.75">
      <c r="V807" s="3"/>
      <c r="W807" s="3"/>
    </row>
    <row r="808" spans="22:23" ht="12.75">
      <c r="V808" s="3"/>
      <c r="W808" s="3"/>
    </row>
    <row r="809" spans="22:23" ht="12.75">
      <c r="V809" s="3"/>
      <c r="W809" s="3"/>
    </row>
    <row r="810" spans="22:23" ht="12.75">
      <c r="V810" s="3"/>
      <c r="W810" s="3"/>
    </row>
    <row r="811" spans="22:23" ht="12.75">
      <c r="V811" s="3"/>
      <c r="W811" s="3"/>
    </row>
    <row r="812" spans="22:23" ht="12.75">
      <c r="V812" s="3"/>
      <c r="W812" s="3"/>
    </row>
    <row r="813" spans="22:23" ht="12.75">
      <c r="V813" s="3"/>
      <c r="W813" s="3"/>
    </row>
    <row r="814" spans="22:23" ht="12.75">
      <c r="V814" s="3"/>
      <c r="W814" s="3"/>
    </row>
    <row r="815" spans="22:23" ht="12.75">
      <c r="V815" s="3"/>
      <c r="W815" s="3"/>
    </row>
    <row r="816" spans="22:23" ht="12.75">
      <c r="V816" s="3"/>
      <c r="W816" s="3"/>
    </row>
    <row r="817" spans="22:23" ht="12.75">
      <c r="V817" s="3"/>
      <c r="W817" s="3"/>
    </row>
    <row r="818" spans="22:23" ht="12.75">
      <c r="V818" s="3"/>
      <c r="W818" s="3"/>
    </row>
    <row r="819" spans="22:23" ht="12.75">
      <c r="V819" s="3"/>
      <c r="W819" s="3"/>
    </row>
    <row r="820" spans="22:23" ht="12.75">
      <c r="V820" s="3"/>
      <c r="W820" s="3"/>
    </row>
    <row r="821" spans="22:23" ht="12.75">
      <c r="V821" s="3"/>
      <c r="W821" s="3"/>
    </row>
    <row r="822" spans="22:23" ht="12.75">
      <c r="V822" s="3"/>
      <c r="W822" s="3"/>
    </row>
    <row r="823" spans="22:23" ht="12.75">
      <c r="V823" s="3"/>
      <c r="W823" s="3"/>
    </row>
    <row r="824" spans="22:23" ht="12.75">
      <c r="V824" s="3"/>
      <c r="W824" s="3"/>
    </row>
    <row r="825" spans="22:23" ht="12.75">
      <c r="V825" s="3"/>
      <c r="W825" s="3"/>
    </row>
    <row r="826" spans="22:23" ht="12.75">
      <c r="V826" s="3"/>
      <c r="W826" s="3"/>
    </row>
    <row r="827" spans="22:23" ht="12.75">
      <c r="V827" s="3"/>
      <c r="W827" s="3"/>
    </row>
    <row r="828" spans="22:23" ht="12.75">
      <c r="V828" s="3"/>
      <c r="W828" s="3"/>
    </row>
    <row r="829" spans="22:23" ht="12.75">
      <c r="V829" s="3"/>
      <c r="W829" s="3"/>
    </row>
    <row r="830" spans="22:23" ht="12.75">
      <c r="V830" s="3"/>
      <c r="W830" s="3"/>
    </row>
    <row r="831" spans="22:23" ht="12.75">
      <c r="V831" s="3"/>
      <c r="W831" s="3"/>
    </row>
    <row r="832" spans="22:23" ht="12.75">
      <c r="V832" s="3"/>
      <c r="W832" s="3"/>
    </row>
    <row r="833" spans="22:23" ht="12.75">
      <c r="V833" s="3"/>
      <c r="W833" s="3"/>
    </row>
    <row r="834" spans="22:23" ht="12.75">
      <c r="V834" s="3"/>
      <c r="W834" s="3"/>
    </row>
    <row r="835" spans="22:23" ht="12.75">
      <c r="V835" s="3"/>
      <c r="W835" s="3"/>
    </row>
    <row r="836" spans="22:23" ht="12.75">
      <c r="V836" s="3"/>
      <c r="W836" s="3"/>
    </row>
    <row r="837" spans="22:23" ht="12.75">
      <c r="V837" s="3"/>
      <c r="W837" s="3"/>
    </row>
    <row r="838" spans="22:23" ht="12.75">
      <c r="V838" s="3"/>
      <c r="W838" s="3"/>
    </row>
    <row r="839" spans="22:23" ht="12.75">
      <c r="V839" s="3"/>
      <c r="W839" s="3"/>
    </row>
    <row r="840" spans="22:23" ht="12.75">
      <c r="V840" s="3"/>
      <c r="W840" s="3"/>
    </row>
    <row r="841" spans="22:23" ht="12.75">
      <c r="V841" s="3"/>
      <c r="W841" s="3"/>
    </row>
    <row r="842" spans="22:23" ht="12.75">
      <c r="V842" s="3"/>
      <c r="W842" s="3"/>
    </row>
    <row r="843" spans="22:23" ht="12.75">
      <c r="V843" s="3"/>
      <c r="W843" s="3"/>
    </row>
    <row r="844" spans="22:23" ht="12.75">
      <c r="V844" s="3"/>
      <c r="W844" s="3"/>
    </row>
    <row r="845" spans="22:23" ht="12.75">
      <c r="V845" s="3"/>
      <c r="W845" s="3"/>
    </row>
    <row r="846" spans="22:23" ht="12.75">
      <c r="V846" s="3"/>
      <c r="W846" s="3"/>
    </row>
    <row r="847" spans="22:23" ht="12.75">
      <c r="V847" s="3"/>
      <c r="W847" s="3"/>
    </row>
    <row r="848" spans="22:23" ht="12.75">
      <c r="V848" s="3"/>
      <c r="W848" s="3"/>
    </row>
    <row r="849" spans="22:23" ht="12.75">
      <c r="V849" s="3"/>
      <c r="W849" s="3"/>
    </row>
    <row r="850" spans="22:23" ht="12.75">
      <c r="V850" s="3"/>
      <c r="W850" s="3"/>
    </row>
    <row r="851" spans="22:23" ht="12.75">
      <c r="V851" s="3"/>
      <c r="W851" s="3"/>
    </row>
    <row r="852" spans="22:23" ht="12.75">
      <c r="V852" s="3"/>
      <c r="W852" s="3"/>
    </row>
    <row r="853" spans="22:23" ht="12.75">
      <c r="V853" s="3"/>
      <c r="W853" s="3"/>
    </row>
    <row r="854" spans="22:23" ht="12.75">
      <c r="V854" s="3"/>
      <c r="W854" s="3"/>
    </row>
    <row r="855" spans="22:23" ht="12.75">
      <c r="V855" s="3"/>
      <c r="W855" s="3"/>
    </row>
    <row r="856" spans="22:23" ht="12.75">
      <c r="V856" s="3"/>
      <c r="W856" s="3"/>
    </row>
    <row r="857" spans="22:23" ht="12.75">
      <c r="V857" s="3"/>
      <c r="W857" s="3"/>
    </row>
    <row r="858" spans="22:23" ht="12.75">
      <c r="V858" s="3"/>
      <c r="W858" s="3"/>
    </row>
    <row r="859" spans="22:23" ht="12.75">
      <c r="V859" s="3"/>
      <c r="W859" s="3"/>
    </row>
    <row r="860" spans="22:23" ht="12.75">
      <c r="V860" s="3"/>
      <c r="W860" s="3"/>
    </row>
    <row r="861" spans="22:23" ht="12.75">
      <c r="V861" s="3"/>
      <c r="W861" s="3"/>
    </row>
    <row r="862" spans="22:23" ht="12.75">
      <c r="V862" s="3"/>
      <c r="W862" s="3"/>
    </row>
    <row r="863" spans="22:23" ht="12.75">
      <c r="V863" s="3"/>
      <c r="W863" s="3"/>
    </row>
    <row r="864" spans="22:23" ht="12.75">
      <c r="V864" s="3"/>
      <c r="W864" s="3"/>
    </row>
    <row r="865" spans="22:23" ht="12.75">
      <c r="V865" s="3"/>
      <c r="W865" s="3"/>
    </row>
    <row r="866" spans="22:23" ht="12.75">
      <c r="V866" s="3"/>
      <c r="W866" s="3"/>
    </row>
    <row r="867" spans="22:23" ht="12.75">
      <c r="V867" s="3"/>
      <c r="W867" s="3"/>
    </row>
    <row r="868" spans="22:23" ht="12.75">
      <c r="V868" s="3"/>
      <c r="W868" s="3"/>
    </row>
    <row r="869" spans="22:23" ht="12.75">
      <c r="V869" s="3"/>
      <c r="W869" s="3"/>
    </row>
    <row r="870" spans="22:23" ht="12.75">
      <c r="V870" s="3"/>
      <c r="W870" s="3"/>
    </row>
    <row r="871" spans="22:23" ht="12.75">
      <c r="V871" s="3"/>
      <c r="W871" s="3"/>
    </row>
    <row r="872" spans="22:23" ht="12.75">
      <c r="V872" s="3"/>
      <c r="W872" s="3"/>
    </row>
    <row r="873" spans="22:23" ht="12.75">
      <c r="V873" s="3"/>
      <c r="W873" s="3"/>
    </row>
    <row r="874" spans="22:23" ht="12.75">
      <c r="V874" s="3"/>
      <c r="W874" s="3"/>
    </row>
    <row r="875" spans="22:23" ht="12.75">
      <c r="V875" s="3"/>
      <c r="W875" s="3"/>
    </row>
    <row r="876" spans="22:23" ht="12.75">
      <c r="V876" s="3"/>
      <c r="W876" s="3"/>
    </row>
    <row r="877" spans="22:23" ht="12.75">
      <c r="V877" s="3"/>
      <c r="W877" s="3"/>
    </row>
    <row r="878" spans="22:23" ht="12.75">
      <c r="V878" s="3"/>
      <c r="W878" s="3"/>
    </row>
    <row r="879" spans="22:23" ht="12.75">
      <c r="V879" s="3"/>
      <c r="W879" s="3"/>
    </row>
    <row r="880" spans="22:23" ht="12.75">
      <c r="V880" s="3"/>
      <c r="W880" s="3"/>
    </row>
    <row r="881" spans="22:23" ht="12.75">
      <c r="V881" s="3"/>
      <c r="W881" s="3"/>
    </row>
    <row r="882" spans="22:23" ht="12.75">
      <c r="V882" s="3"/>
      <c r="W882" s="3"/>
    </row>
    <row r="883" spans="22:23" ht="12.75">
      <c r="V883" s="3"/>
      <c r="W883" s="3"/>
    </row>
    <row r="884" spans="22:23" ht="12.75">
      <c r="V884" s="3"/>
      <c r="W884" s="3"/>
    </row>
    <row r="885" spans="22:23" ht="12.75">
      <c r="V885" s="3"/>
      <c r="W885" s="3"/>
    </row>
    <row r="886" spans="22:23" ht="12.75">
      <c r="V886" s="3"/>
      <c r="W886" s="3"/>
    </row>
    <row r="887" spans="22:23" ht="12.75">
      <c r="V887" s="3"/>
      <c r="W887" s="3"/>
    </row>
    <row r="888" spans="22:23" ht="12.75">
      <c r="V888" s="3"/>
      <c r="W888" s="3"/>
    </row>
    <row r="889" spans="22:23" ht="12.75">
      <c r="V889" s="3"/>
      <c r="W889" s="3"/>
    </row>
    <row r="890" spans="22:23" ht="12.75">
      <c r="V890" s="3"/>
      <c r="W890" s="3"/>
    </row>
    <row r="891" spans="22:23" ht="12.75">
      <c r="V891" s="3"/>
      <c r="W891" s="3"/>
    </row>
    <row r="892" spans="22:23" ht="12.75">
      <c r="V892" s="3"/>
      <c r="W892" s="3"/>
    </row>
    <row r="893" spans="22:23" ht="12.75">
      <c r="V893" s="3"/>
      <c r="W893" s="3"/>
    </row>
    <row r="894" spans="22:23" ht="12.75">
      <c r="V894" s="3"/>
      <c r="W894" s="3"/>
    </row>
    <row r="895" spans="22:23" ht="12.75">
      <c r="V895" s="3"/>
      <c r="W895" s="3"/>
    </row>
  </sheetData>
  <autoFilter ref="A2:AC558"/>
  <mergeCells count="4">
    <mergeCell ref="A558:D558"/>
    <mergeCell ref="U1:Z1"/>
    <mergeCell ref="A1:D1"/>
    <mergeCell ref="E1:T1"/>
  </mergeCells>
  <hyperlinks>
    <hyperlink ref="U369" location="'DETALLE APOYO F.N.C.'!BA155" display="'DETALLE APOYO F.N.C.'!BA155"/>
  </hyperlinks>
  <printOptions/>
  <pageMargins left="1.68" right="0.5905511811023623" top="0.95" bottom="0.7874015748031497" header="0.49" footer="0.44"/>
  <pageSetup horizontalDpi="300" verticalDpi="300" orientation="landscape" paperSize="5" scale="90" r:id="rId1"/>
  <headerFooter alignWithMargins="0">
    <oddHeader>&amp;C&amp;"Arial,Negrita Cursiva"&amp;11REPORTE DE SITUACIONES DE &amp;12EMERGENCIAS Y APOYO DEL F.N.C.  AÑO 1.998
&amp;R&amp;"Arial,Negrita Cursiva"&amp;8Página &amp;P</oddHeader>
    <oddFooter>&amp;L&amp;"Arial,Cursiva"PARA MAYOR INFORMACION VER ARHIVO EN RED EMERGENCIAS 98. &amp;CPágina &amp;P&amp;R&amp;D</oddFooter>
  </headerFooter>
</worksheet>
</file>

<file path=xl/worksheets/sheet7.xml><?xml version="1.0" encoding="utf-8"?>
<worksheet xmlns="http://schemas.openxmlformats.org/spreadsheetml/2006/main" xmlns:r="http://schemas.openxmlformats.org/officeDocument/2006/relationships">
  <dimension ref="A1:BJ284"/>
  <sheetViews>
    <sheetView workbookViewId="0" topLeftCell="A1">
      <pane xSplit="3" ySplit="2" topLeftCell="BC272" activePane="bottomRight" state="frozen"/>
      <selection pane="topLeft" activeCell="A1" sqref="A1"/>
      <selection pane="topRight" activeCell="D1" sqref="D1"/>
      <selection pane="bottomLeft" activeCell="A3" sqref="A3"/>
      <selection pane="bottomRight" activeCell="BC289" sqref="BC289"/>
    </sheetView>
  </sheetViews>
  <sheetFormatPr defaultColWidth="11.421875" defaultRowHeight="12.75"/>
  <cols>
    <col min="1" max="1" width="8.421875" style="0" bestFit="1" customWidth="1"/>
    <col min="2" max="2" width="16.28125" style="0" customWidth="1"/>
    <col min="3" max="3" width="13.00390625" style="0" customWidth="1"/>
    <col min="4" max="4" width="14.28125" style="0" customWidth="1"/>
    <col min="5" max="5" width="8.8515625" style="0" bestFit="1" customWidth="1"/>
    <col min="6" max="6" width="12.28125" style="0" customWidth="1"/>
    <col min="7" max="7" width="8.8515625" style="0" bestFit="1" customWidth="1"/>
    <col min="8" max="8" width="12.28125" style="0" customWidth="1"/>
    <col min="9" max="9" width="8.8515625" style="0" bestFit="1" customWidth="1"/>
    <col min="10" max="10" width="12.28125" style="0" customWidth="1"/>
    <col min="11" max="11" width="8.8515625" style="0" bestFit="1" customWidth="1"/>
    <col min="12" max="12" width="12.28125" style="0" customWidth="1"/>
    <col min="13" max="13" width="8.8515625" style="0" bestFit="1" customWidth="1"/>
    <col min="14" max="16" width="12.28125" style="0" customWidth="1"/>
    <col min="17" max="17" width="8.8515625" style="0" bestFit="1" customWidth="1"/>
    <col min="18" max="18" width="12.7109375" style="0" bestFit="1" customWidth="1"/>
    <col min="19" max="19" width="8.8515625" style="0" bestFit="1" customWidth="1"/>
    <col min="20" max="20" width="12.28125" style="0" customWidth="1"/>
    <col min="21" max="21" width="8.8515625" style="0" bestFit="1" customWidth="1"/>
    <col min="22" max="24" width="12.28125" style="0" customWidth="1"/>
    <col min="25" max="25" width="8.8515625" style="0" bestFit="1" customWidth="1"/>
    <col min="26" max="26" width="12.28125" style="0" customWidth="1"/>
    <col min="27" max="27" width="8.8515625" style="0" bestFit="1" customWidth="1"/>
    <col min="28" max="28" width="12.28125" style="0" customWidth="1"/>
    <col min="29" max="29" width="8.8515625" style="0" bestFit="1" customWidth="1"/>
    <col min="30" max="30" width="12.28125" style="0" customWidth="1"/>
    <col min="31" max="31" width="8.8515625" style="0" bestFit="1" customWidth="1"/>
    <col min="32" max="32" width="12.28125" style="0" customWidth="1"/>
    <col min="33" max="33" width="8.8515625" style="0" bestFit="1" customWidth="1"/>
    <col min="34" max="34" width="12.28125" style="0" customWidth="1"/>
    <col min="35" max="35" width="8.8515625" style="0" bestFit="1" customWidth="1"/>
    <col min="36" max="36" width="12.28125" style="0" customWidth="1"/>
    <col min="37" max="37" width="8.8515625" style="0" bestFit="1" customWidth="1"/>
    <col min="38" max="38" width="12.28125" style="0" customWidth="1"/>
    <col min="39" max="39" width="8.8515625" style="0" bestFit="1" customWidth="1"/>
    <col min="40" max="40" width="12.28125" style="0" customWidth="1"/>
    <col min="41" max="41" width="8.8515625" style="0" bestFit="1" customWidth="1"/>
    <col min="42" max="42" width="12.28125" style="0" customWidth="1"/>
    <col min="43" max="43" width="8.8515625" style="0" bestFit="1" customWidth="1"/>
    <col min="44" max="44" width="12.28125" style="0" customWidth="1"/>
    <col min="45" max="45" width="8.8515625" style="0" bestFit="1" customWidth="1"/>
    <col min="46" max="46" width="12.28125" style="0" customWidth="1"/>
    <col min="47" max="47" width="8.8515625" style="0" bestFit="1" customWidth="1"/>
    <col min="48" max="50" width="12.28125" style="0" customWidth="1"/>
    <col min="51" max="51" width="8.8515625" style="0" bestFit="1" customWidth="1"/>
    <col min="52" max="52" width="12.28125" style="0" customWidth="1"/>
    <col min="53" max="53" width="8.8515625" style="0" bestFit="1" customWidth="1"/>
    <col min="54" max="54" width="12.28125" style="0" customWidth="1"/>
    <col min="55" max="55" width="15.00390625" style="0" customWidth="1"/>
    <col min="56" max="56" width="8.8515625" style="0" bestFit="1" customWidth="1"/>
    <col min="58" max="58" width="8.8515625" style="0" bestFit="1" customWidth="1"/>
    <col min="59" max="59" width="12.28125" style="0" bestFit="1" customWidth="1"/>
    <col min="60" max="60" width="8.8515625" style="0" bestFit="1" customWidth="1"/>
  </cols>
  <sheetData>
    <row r="1" spans="1:61" ht="17.25" thickBot="1" thickTop="1">
      <c r="A1" s="152" t="s">
        <v>833</v>
      </c>
      <c r="B1" s="153"/>
      <c r="C1" s="153"/>
      <c r="D1" s="153"/>
      <c r="E1" s="162" t="s">
        <v>854</v>
      </c>
      <c r="F1" s="163"/>
      <c r="G1" s="164" t="s">
        <v>855</v>
      </c>
      <c r="H1" s="164"/>
      <c r="I1" s="164" t="s">
        <v>826</v>
      </c>
      <c r="J1" s="164"/>
      <c r="K1" s="164" t="s">
        <v>856</v>
      </c>
      <c r="L1" s="164"/>
      <c r="M1" s="164" t="s">
        <v>857</v>
      </c>
      <c r="N1" s="164"/>
      <c r="O1" s="162" t="s">
        <v>871</v>
      </c>
      <c r="P1" s="163"/>
      <c r="Q1" s="164" t="s">
        <v>858</v>
      </c>
      <c r="R1" s="164"/>
      <c r="S1" s="164" t="s">
        <v>859</v>
      </c>
      <c r="T1" s="164"/>
      <c r="U1" s="164" t="s">
        <v>860</v>
      </c>
      <c r="V1" s="164"/>
      <c r="W1" s="162" t="s">
        <v>192</v>
      </c>
      <c r="X1" s="163"/>
      <c r="Y1" s="164" t="s">
        <v>828</v>
      </c>
      <c r="Z1" s="164"/>
      <c r="AA1" s="164" t="s">
        <v>861</v>
      </c>
      <c r="AB1" s="164"/>
      <c r="AC1" s="164" t="s">
        <v>862</v>
      </c>
      <c r="AD1" s="164"/>
      <c r="AE1" s="164" t="s">
        <v>863</v>
      </c>
      <c r="AF1" s="164"/>
      <c r="AG1" s="164" t="s">
        <v>827</v>
      </c>
      <c r="AH1" s="164"/>
      <c r="AI1" s="164" t="s">
        <v>86</v>
      </c>
      <c r="AJ1" s="164"/>
      <c r="AK1" s="164" t="s">
        <v>864</v>
      </c>
      <c r="AL1" s="164"/>
      <c r="AM1" s="162" t="s">
        <v>87</v>
      </c>
      <c r="AN1" s="165"/>
      <c r="AO1" s="164" t="s">
        <v>865</v>
      </c>
      <c r="AP1" s="164"/>
      <c r="AQ1" s="164" t="s">
        <v>866</v>
      </c>
      <c r="AR1" s="164"/>
      <c r="AS1" s="164" t="s">
        <v>867</v>
      </c>
      <c r="AT1" s="164"/>
      <c r="AU1" s="164" t="s">
        <v>868</v>
      </c>
      <c r="AV1" s="164"/>
      <c r="AW1" s="162" t="s">
        <v>43</v>
      </c>
      <c r="AX1" s="163"/>
      <c r="AY1" s="164" t="s">
        <v>825</v>
      </c>
      <c r="AZ1" s="164"/>
      <c r="BA1" s="164" t="s">
        <v>824</v>
      </c>
      <c r="BB1" s="164"/>
      <c r="BC1" s="14" t="s">
        <v>869</v>
      </c>
      <c r="BD1" s="161" t="s">
        <v>823</v>
      </c>
      <c r="BE1" s="161"/>
      <c r="BF1" s="161" t="s">
        <v>831</v>
      </c>
      <c r="BG1" s="161"/>
      <c r="BH1" s="161" t="s">
        <v>844</v>
      </c>
      <c r="BI1" s="161"/>
    </row>
    <row r="2" spans="1:61" ht="14.25" thickBot="1" thickTop="1">
      <c r="A2" s="5" t="s">
        <v>814</v>
      </c>
      <c r="B2" s="8" t="s">
        <v>815</v>
      </c>
      <c r="C2" s="8" t="s">
        <v>816</v>
      </c>
      <c r="D2" s="9" t="s">
        <v>817</v>
      </c>
      <c r="E2" s="12" t="s">
        <v>852</v>
      </c>
      <c r="F2" s="12" t="s">
        <v>853</v>
      </c>
      <c r="G2" s="12" t="s">
        <v>852</v>
      </c>
      <c r="H2" s="12" t="s">
        <v>853</v>
      </c>
      <c r="I2" s="12" t="s">
        <v>852</v>
      </c>
      <c r="J2" s="12" t="s">
        <v>853</v>
      </c>
      <c r="K2" s="12" t="s">
        <v>852</v>
      </c>
      <c r="L2" s="12" t="s">
        <v>853</v>
      </c>
      <c r="M2" s="13" t="s">
        <v>852</v>
      </c>
      <c r="N2" s="13" t="s">
        <v>853</v>
      </c>
      <c r="O2" s="13" t="s">
        <v>852</v>
      </c>
      <c r="P2" s="13" t="s">
        <v>853</v>
      </c>
      <c r="Q2" s="13" t="s">
        <v>852</v>
      </c>
      <c r="R2" s="13" t="s">
        <v>853</v>
      </c>
      <c r="S2" s="13" t="s">
        <v>852</v>
      </c>
      <c r="T2" s="13" t="s">
        <v>853</v>
      </c>
      <c r="U2" s="13" t="s">
        <v>852</v>
      </c>
      <c r="V2" s="13" t="s">
        <v>853</v>
      </c>
      <c r="W2" s="13" t="s">
        <v>852</v>
      </c>
      <c r="X2" s="13" t="s">
        <v>853</v>
      </c>
      <c r="Y2" s="13" t="s">
        <v>852</v>
      </c>
      <c r="Z2" s="13" t="s">
        <v>853</v>
      </c>
      <c r="AA2" s="13" t="s">
        <v>852</v>
      </c>
      <c r="AB2" s="13" t="s">
        <v>853</v>
      </c>
      <c r="AC2" s="13" t="s">
        <v>852</v>
      </c>
      <c r="AD2" s="13" t="s">
        <v>853</v>
      </c>
      <c r="AE2" s="13" t="s">
        <v>852</v>
      </c>
      <c r="AF2" s="13" t="s">
        <v>853</v>
      </c>
      <c r="AG2" s="13" t="s">
        <v>852</v>
      </c>
      <c r="AH2" s="13" t="s">
        <v>853</v>
      </c>
      <c r="AI2" s="13" t="s">
        <v>852</v>
      </c>
      <c r="AJ2" s="13" t="s">
        <v>853</v>
      </c>
      <c r="AK2" s="13" t="s">
        <v>852</v>
      </c>
      <c r="AL2" s="13" t="s">
        <v>853</v>
      </c>
      <c r="AM2" s="13" t="s">
        <v>852</v>
      </c>
      <c r="AN2" s="13" t="s">
        <v>853</v>
      </c>
      <c r="AO2" s="13" t="s">
        <v>852</v>
      </c>
      <c r="AP2" s="13" t="s">
        <v>853</v>
      </c>
      <c r="AQ2" s="13" t="s">
        <v>852</v>
      </c>
      <c r="AR2" s="13" t="s">
        <v>853</v>
      </c>
      <c r="AS2" s="13" t="s">
        <v>852</v>
      </c>
      <c r="AT2" s="13" t="s">
        <v>853</v>
      </c>
      <c r="AU2" s="13" t="s">
        <v>852</v>
      </c>
      <c r="AV2" s="13" t="s">
        <v>853</v>
      </c>
      <c r="AW2" s="13" t="s">
        <v>852</v>
      </c>
      <c r="AX2" s="13" t="s">
        <v>853</v>
      </c>
      <c r="AY2" s="13" t="s">
        <v>852</v>
      </c>
      <c r="AZ2" s="13" t="s">
        <v>853</v>
      </c>
      <c r="BA2" s="13" t="s">
        <v>852</v>
      </c>
      <c r="BB2" s="13" t="s">
        <v>853</v>
      </c>
      <c r="BC2" s="15" t="s">
        <v>870</v>
      </c>
      <c r="BD2" s="10" t="s">
        <v>852</v>
      </c>
      <c r="BE2" s="10" t="s">
        <v>853</v>
      </c>
      <c r="BF2" s="10" t="s">
        <v>852</v>
      </c>
      <c r="BG2" s="10" t="s">
        <v>853</v>
      </c>
      <c r="BH2" s="10" t="s">
        <v>852</v>
      </c>
      <c r="BI2" s="10" t="s">
        <v>853</v>
      </c>
    </row>
    <row r="3" spans="1:61" ht="13.5" thickTop="1">
      <c r="A3" s="20">
        <v>35823</v>
      </c>
      <c r="B3" s="21" t="s">
        <v>899</v>
      </c>
      <c r="C3" s="21" t="s">
        <v>900</v>
      </c>
      <c r="D3" s="21" t="s">
        <v>821</v>
      </c>
      <c r="E3" s="16">
        <v>1000</v>
      </c>
      <c r="F3" s="16">
        <f>+E3*348</f>
        <v>348000</v>
      </c>
      <c r="G3" s="16">
        <v>1000</v>
      </c>
      <c r="H3" s="16">
        <f>+G3*295.8</f>
        <v>295800</v>
      </c>
      <c r="I3" s="16"/>
      <c r="J3" s="16">
        <f>+I3*4176</f>
        <v>0</v>
      </c>
      <c r="K3" s="16"/>
      <c r="L3" s="16">
        <f>+K3*6769.53</f>
        <v>0</v>
      </c>
      <c r="M3" s="16"/>
      <c r="N3" s="16">
        <f>+M3*2485.2</f>
        <v>0</v>
      </c>
      <c r="O3" s="16"/>
      <c r="P3" s="16">
        <f>+O3*20822</f>
        <v>0</v>
      </c>
      <c r="Q3" s="16">
        <v>1000</v>
      </c>
      <c r="R3" s="16">
        <f>+Q3*27260</f>
        <v>27260000</v>
      </c>
      <c r="S3" s="16">
        <v>1000</v>
      </c>
      <c r="T3" s="16">
        <f>+S3*1885</f>
        <v>1885000</v>
      </c>
      <c r="U3" s="16">
        <v>1000</v>
      </c>
      <c r="V3" s="16">
        <f>+U3*580.64</f>
        <v>580640</v>
      </c>
      <c r="W3" s="16"/>
      <c r="X3" s="16"/>
      <c r="Y3" s="16"/>
      <c r="Z3" s="16">
        <f>+Y3*5887</f>
        <v>0</v>
      </c>
      <c r="AA3" s="16"/>
      <c r="AB3" s="16">
        <f>+AA3*14500</f>
        <v>0</v>
      </c>
      <c r="AC3" s="16">
        <v>1000</v>
      </c>
      <c r="AD3" s="16">
        <f>+AC3*626.4</f>
        <v>626400</v>
      </c>
      <c r="AE3" s="16"/>
      <c r="AF3" s="16">
        <f>+AE3*2040.44</f>
        <v>0</v>
      </c>
      <c r="AG3" s="16"/>
      <c r="AH3" s="16">
        <f>+AG3*6631.72</f>
        <v>0</v>
      </c>
      <c r="AI3" s="16">
        <v>1000</v>
      </c>
      <c r="AJ3" s="16">
        <f>+AI3*464</f>
        <v>464000</v>
      </c>
      <c r="AK3" s="16">
        <v>1000</v>
      </c>
      <c r="AL3" s="16">
        <f>+AK3*63.8</f>
        <v>63800</v>
      </c>
      <c r="AM3" s="16"/>
      <c r="AN3" s="16">
        <f>+AM3*255017.31</f>
        <v>0</v>
      </c>
      <c r="AO3" s="16"/>
      <c r="AP3" s="16">
        <f>+AO3*272.6</f>
        <v>0</v>
      </c>
      <c r="AQ3" s="16"/>
      <c r="AR3" s="16">
        <f>+AQ3*324.8</f>
        <v>0</v>
      </c>
      <c r="AS3" s="16"/>
      <c r="AT3" s="16">
        <f>+AS3*323.8</f>
        <v>0</v>
      </c>
      <c r="AU3" s="16"/>
      <c r="AV3" s="16">
        <f>+AU3*6465.76</f>
        <v>0</v>
      </c>
      <c r="AW3" s="16"/>
      <c r="AX3" s="16">
        <f>+AW3*6342.13</f>
        <v>0</v>
      </c>
      <c r="AY3" s="16"/>
      <c r="AZ3" s="16">
        <f>+AY3*3229.53</f>
        <v>0</v>
      </c>
      <c r="BA3" s="16"/>
      <c r="BB3" s="16">
        <f>+BA3*7141.47</f>
        <v>0</v>
      </c>
      <c r="BC3" s="11">
        <f>SUM(F3+H3+J3+L3+N3+P3+R3+T3+V3+X3+Z3+AB3+AD3+AF3+AH3+AJ3+AL3+AN3+AP3+AR3+AT3+AV3+AX3+AZ3+BB3)</f>
        <v>31523640</v>
      </c>
      <c r="BD3" s="16"/>
      <c r="BE3" s="16"/>
      <c r="BF3" s="16">
        <v>500</v>
      </c>
      <c r="BG3" s="16">
        <f>+BF3*23000</f>
        <v>11500000</v>
      </c>
      <c r="BH3" s="16">
        <v>1000</v>
      </c>
      <c r="BI3" s="16">
        <f>+BH3*6885.76</f>
        <v>6885760</v>
      </c>
    </row>
    <row r="4" spans="1:61" ht="12.75">
      <c r="A4" s="20">
        <v>35823</v>
      </c>
      <c r="B4" s="21" t="s">
        <v>899</v>
      </c>
      <c r="C4" s="21" t="s">
        <v>902</v>
      </c>
      <c r="D4" s="21" t="s">
        <v>821</v>
      </c>
      <c r="E4" s="17">
        <v>700</v>
      </c>
      <c r="F4" s="16">
        <f aca="true" t="shared" si="0" ref="F4:F247">+E4*348</f>
        <v>243600</v>
      </c>
      <c r="G4" s="17">
        <v>700</v>
      </c>
      <c r="H4" s="16">
        <f aca="true" t="shared" si="1" ref="H4:H247">+G4*295.8</f>
        <v>207060</v>
      </c>
      <c r="I4" s="16"/>
      <c r="J4" s="16">
        <f>+I4*4176</f>
        <v>0</v>
      </c>
      <c r="K4" s="16"/>
      <c r="L4" s="16">
        <f>+K4*6769.53</f>
        <v>0</v>
      </c>
      <c r="M4" s="16"/>
      <c r="N4" s="16">
        <f>+M4*2485.2</f>
        <v>0</v>
      </c>
      <c r="O4" s="16"/>
      <c r="P4" s="16">
        <f>+O4*20822</f>
        <v>0</v>
      </c>
      <c r="Q4" s="16">
        <v>800</v>
      </c>
      <c r="R4" s="16">
        <f>+Q4*27260</f>
        <v>21808000</v>
      </c>
      <c r="S4" s="16">
        <v>700</v>
      </c>
      <c r="T4" s="16">
        <f>+S4*1885</f>
        <v>1319500</v>
      </c>
      <c r="U4" s="16">
        <v>700</v>
      </c>
      <c r="V4" s="16">
        <f>+U4*580.64</f>
        <v>406448</v>
      </c>
      <c r="W4" s="16"/>
      <c r="X4" s="16"/>
      <c r="Y4" s="16"/>
      <c r="Z4" s="16">
        <f>+Y4*5887</f>
        <v>0</v>
      </c>
      <c r="AA4" s="16"/>
      <c r="AB4" s="16">
        <f>+AA4*14500</f>
        <v>0</v>
      </c>
      <c r="AC4" s="16">
        <v>700</v>
      </c>
      <c r="AD4" s="16">
        <f>+AC4*626.4</f>
        <v>438480</v>
      </c>
      <c r="AE4" s="16"/>
      <c r="AF4" s="16">
        <f>+AE4*2040.44</f>
        <v>0</v>
      </c>
      <c r="AG4" s="16"/>
      <c r="AH4" s="16">
        <f>+AG4*6631.72</f>
        <v>0</v>
      </c>
      <c r="AI4" s="16">
        <v>700</v>
      </c>
      <c r="AJ4" s="16">
        <f>+AI4*464</f>
        <v>324800</v>
      </c>
      <c r="AK4" s="16">
        <v>700</v>
      </c>
      <c r="AL4" s="16">
        <f>+AK4*63.8</f>
        <v>44660</v>
      </c>
      <c r="AM4" s="16"/>
      <c r="AN4" s="16">
        <f aca="true" t="shared" si="2" ref="AN4:AN247">+AM4*255017.31</f>
        <v>0</v>
      </c>
      <c r="AO4" s="16"/>
      <c r="AP4" s="16">
        <f>+AO4*272.6</f>
        <v>0</v>
      </c>
      <c r="AQ4" s="16"/>
      <c r="AR4" s="16">
        <f>+AQ4*324.8</f>
        <v>0</v>
      </c>
      <c r="AS4" s="16"/>
      <c r="AT4" s="16">
        <f>+AS4*323.8</f>
        <v>0</v>
      </c>
      <c r="AU4" s="16"/>
      <c r="AV4" s="16">
        <f>+AU4*6465.76</f>
        <v>0</v>
      </c>
      <c r="AW4" s="16"/>
      <c r="AX4" s="16">
        <f aca="true" t="shared" si="3" ref="AX4:AX154">+AW4*6342.13</f>
        <v>0</v>
      </c>
      <c r="AY4" s="16"/>
      <c r="AZ4" s="16">
        <f>+AY4*3229.53</f>
        <v>0</v>
      </c>
      <c r="BA4" s="16"/>
      <c r="BB4" s="16">
        <f>+BA4*7141.47</f>
        <v>0</v>
      </c>
      <c r="BC4" s="11">
        <f>SUM(F4+H4+J4+L4+N4+P4+R4+T4+V4+X4+Z4+AB4+AD4+AF4+AH4+AJ4+AL4+AN4+AP4+AR4+AT4+AV4+AX4+AZ4+BB4)</f>
        <v>24792548</v>
      </c>
      <c r="BD4" s="17"/>
      <c r="BE4" s="17"/>
      <c r="BF4" s="17">
        <v>500</v>
      </c>
      <c r="BG4" s="16">
        <f>+BF4*23000</f>
        <v>11500000</v>
      </c>
      <c r="BH4" s="17">
        <v>800</v>
      </c>
      <c r="BI4" s="16">
        <f>+BH4*6885.76</f>
        <v>5508608</v>
      </c>
    </row>
    <row r="5" spans="1:61" ht="22.5">
      <c r="A5" s="20">
        <v>35821</v>
      </c>
      <c r="B5" s="21" t="s">
        <v>904</v>
      </c>
      <c r="C5" s="21" t="s">
        <v>905</v>
      </c>
      <c r="D5" s="21" t="s">
        <v>884</v>
      </c>
      <c r="E5" s="17"/>
      <c r="F5" s="16">
        <f t="shared" si="0"/>
        <v>0</v>
      </c>
      <c r="G5" s="17"/>
      <c r="H5" s="16">
        <f t="shared" si="1"/>
        <v>0</v>
      </c>
      <c r="I5" s="16"/>
      <c r="J5" s="16">
        <f>+I5*4176</f>
        <v>0</v>
      </c>
      <c r="K5" s="16"/>
      <c r="L5" s="16">
        <f>+K5*6769.53</f>
        <v>0</v>
      </c>
      <c r="M5" s="16"/>
      <c r="N5" s="16">
        <f>+M5*2485.2</f>
        <v>0</v>
      </c>
      <c r="O5" s="16"/>
      <c r="P5" s="16">
        <f>+O5*20822</f>
        <v>0</v>
      </c>
      <c r="Q5" s="16"/>
      <c r="R5" s="16">
        <f>+Q5*27260</f>
        <v>0</v>
      </c>
      <c r="S5" s="16"/>
      <c r="T5" s="16">
        <f>+S5*1885</f>
        <v>0</v>
      </c>
      <c r="U5" s="16"/>
      <c r="V5" s="16">
        <f>+U5*580.64</f>
        <v>0</v>
      </c>
      <c r="W5" s="16"/>
      <c r="X5" s="16"/>
      <c r="Y5" s="16"/>
      <c r="Z5" s="16">
        <f>+Y5*5887</f>
        <v>0</v>
      </c>
      <c r="AA5" s="16"/>
      <c r="AB5" s="16">
        <f>+AA5*14500</f>
        <v>0</v>
      </c>
      <c r="AC5" s="16"/>
      <c r="AD5" s="16">
        <f>+AC5*626.4</f>
        <v>0</v>
      </c>
      <c r="AE5" s="16"/>
      <c r="AF5" s="16">
        <f>+AE5*2040.44</f>
        <v>0</v>
      </c>
      <c r="AG5" s="16"/>
      <c r="AH5" s="16">
        <f>+AG5*6631.72</f>
        <v>0</v>
      </c>
      <c r="AI5" s="16"/>
      <c r="AJ5" s="16">
        <f>+AI5*464</f>
        <v>0</v>
      </c>
      <c r="AK5" s="16"/>
      <c r="AL5" s="16">
        <f>+AK5*63.8</f>
        <v>0</v>
      </c>
      <c r="AM5" s="16"/>
      <c r="AN5" s="16">
        <f t="shared" si="2"/>
        <v>0</v>
      </c>
      <c r="AO5" s="16"/>
      <c r="AP5" s="16">
        <f>+AO5*272.6</f>
        <v>0</v>
      </c>
      <c r="AQ5" s="16"/>
      <c r="AR5" s="16">
        <f>+AQ5*324.8</f>
        <v>0</v>
      </c>
      <c r="AS5" s="16"/>
      <c r="AT5" s="16">
        <f>+AS5*323.8</f>
        <v>0</v>
      </c>
      <c r="AU5" s="16"/>
      <c r="AV5" s="16">
        <f>+AU5*6465.76</f>
        <v>0</v>
      </c>
      <c r="AW5" s="16"/>
      <c r="AX5" s="16">
        <f t="shared" si="3"/>
        <v>0</v>
      </c>
      <c r="AY5" s="16"/>
      <c r="AZ5" s="16">
        <f>+AY5*3229.53</f>
        <v>0</v>
      </c>
      <c r="BA5" s="16"/>
      <c r="BB5" s="16">
        <f>+BA5*7141.47</f>
        <v>0</v>
      </c>
      <c r="BC5" s="11">
        <f aca="true" t="shared" si="4" ref="BC5:BC68">SUM(F5+H5+J5+L5+N5+P5+R5+T5+V5+X5+Z5+AB5+AD5+AF5+AH5+AJ5+AL5+AN5+AP5+AR5+AT5+AV5+AX5+AZ5+BB5)</f>
        <v>0</v>
      </c>
      <c r="BD5" s="17"/>
      <c r="BE5" s="17"/>
      <c r="BF5" s="17">
        <v>1000</v>
      </c>
      <c r="BG5" s="16">
        <f aca="true" t="shared" si="5" ref="BG5:BG229">+BF5*23000</f>
        <v>23000000</v>
      </c>
      <c r="BH5" s="17"/>
      <c r="BI5" s="17"/>
    </row>
    <row r="6" spans="1:61" ht="22.5">
      <c r="A6" s="20">
        <v>35849</v>
      </c>
      <c r="B6" s="22" t="s">
        <v>820</v>
      </c>
      <c r="C6" s="21" t="s">
        <v>873</v>
      </c>
      <c r="D6" s="21" t="s">
        <v>821</v>
      </c>
      <c r="E6" s="17"/>
      <c r="F6" s="16">
        <f t="shared" si="0"/>
        <v>0</v>
      </c>
      <c r="G6" s="17"/>
      <c r="H6" s="16">
        <f t="shared" si="1"/>
        <v>0</v>
      </c>
      <c r="I6" s="16"/>
      <c r="J6" s="16">
        <f>+I6*4176</f>
        <v>0</v>
      </c>
      <c r="K6" s="16"/>
      <c r="L6" s="16">
        <f>+K6*6769.53</f>
        <v>0</v>
      </c>
      <c r="M6" s="16"/>
      <c r="N6" s="16">
        <f>+M6*2485.2</f>
        <v>0</v>
      </c>
      <c r="O6" s="16"/>
      <c r="P6" s="16">
        <f>+O6*20822</f>
        <v>0</v>
      </c>
      <c r="Q6" s="16"/>
      <c r="R6" s="16">
        <f>+Q6*27260</f>
        <v>0</v>
      </c>
      <c r="S6" s="16"/>
      <c r="T6" s="16">
        <f>+S6*1885</f>
        <v>0</v>
      </c>
      <c r="U6" s="16"/>
      <c r="V6" s="16">
        <f>+U6*580.64</f>
        <v>0</v>
      </c>
      <c r="W6" s="16"/>
      <c r="X6" s="16"/>
      <c r="Y6" s="16"/>
      <c r="Z6" s="16">
        <f>+Y6*5887</f>
        <v>0</v>
      </c>
      <c r="AA6" s="16"/>
      <c r="AB6" s="16">
        <f>+AA6*14500</f>
        <v>0</v>
      </c>
      <c r="AC6" s="16"/>
      <c r="AD6" s="16">
        <f>+AC6*626.4</f>
        <v>0</v>
      </c>
      <c r="AE6" s="16"/>
      <c r="AF6" s="16">
        <f>+AE6*2040.44</f>
        <v>0</v>
      </c>
      <c r="AG6" s="16"/>
      <c r="AH6" s="16">
        <f>+AG6*6631.72</f>
        <v>0</v>
      </c>
      <c r="AI6" s="16"/>
      <c r="AJ6" s="16">
        <f>+AI6*464</f>
        <v>0</v>
      </c>
      <c r="AK6" s="16"/>
      <c r="AL6" s="16">
        <f>+AK6*63.8</f>
        <v>0</v>
      </c>
      <c r="AM6" s="16"/>
      <c r="AN6" s="16">
        <f t="shared" si="2"/>
        <v>0</v>
      </c>
      <c r="AO6" s="16"/>
      <c r="AP6" s="16">
        <f>+AO6*272.6</f>
        <v>0</v>
      </c>
      <c r="AQ6" s="16"/>
      <c r="AR6" s="16">
        <f>+AQ6*324.8</f>
        <v>0</v>
      </c>
      <c r="AS6" s="16"/>
      <c r="AT6" s="16">
        <f>+AS6*323.8</f>
        <v>0</v>
      </c>
      <c r="AU6" s="16"/>
      <c r="AV6" s="16">
        <f>+AU6*6465.76</f>
        <v>0</v>
      </c>
      <c r="AW6" s="16"/>
      <c r="AX6" s="16">
        <f t="shared" si="3"/>
        <v>0</v>
      </c>
      <c r="AY6" s="16"/>
      <c r="AZ6" s="16" t="s">
        <v>561</v>
      </c>
      <c r="BA6" s="16"/>
      <c r="BB6" s="16">
        <f>+BA6*7141.47</f>
        <v>0</v>
      </c>
      <c r="BC6" s="11" t="e">
        <f t="shared" si="4"/>
        <v>#VALUE!</v>
      </c>
      <c r="BD6" s="17"/>
      <c r="BE6" s="17"/>
      <c r="BF6" s="17">
        <v>600</v>
      </c>
      <c r="BG6" s="16">
        <f t="shared" si="5"/>
        <v>13800000</v>
      </c>
      <c r="BH6" s="17"/>
      <c r="BI6" s="17"/>
    </row>
    <row r="7" spans="1:61" ht="12.75">
      <c r="A7" s="20">
        <v>35832</v>
      </c>
      <c r="B7" s="22" t="s">
        <v>829</v>
      </c>
      <c r="C7" s="21" t="s">
        <v>910</v>
      </c>
      <c r="D7" s="21" t="s">
        <v>911</v>
      </c>
      <c r="E7" s="17"/>
      <c r="F7" s="16">
        <f t="shared" si="0"/>
        <v>0</v>
      </c>
      <c r="G7" s="17"/>
      <c r="H7" s="16">
        <f t="shared" si="1"/>
        <v>0</v>
      </c>
      <c r="I7" s="16"/>
      <c r="J7" s="16">
        <f aca="true" t="shared" si="6" ref="J7:J247">+I7*4176</f>
        <v>0</v>
      </c>
      <c r="K7" s="16"/>
      <c r="L7" s="16">
        <f aca="true" t="shared" si="7" ref="L7:L247">+K7*6769.53</f>
        <v>0</v>
      </c>
      <c r="M7" s="16"/>
      <c r="N7" s="16">
        <f aca="true" t="shared" si="8" ref="N7:N247">+M7*2485.2</f>
        <v>0</v>
      </c>
      <c r="O7" s="16"/>
      <c r="P7" s="16">
        <f aca="true" t="shared" si="9" ref="P7:P251">+O7*20822</f>
        <v>0</v>
      </c>
      <c r="Q7" s="16"/>
      <c r="R7" s="16">
        <f aca="true" t="shared" si="10" ref="R7:R154">+Q7*27260</f>
        <v>0</v>
      </c>
      <c r="S7" s="16"/>
      <c r="T7" s="16">
        <f aca="true" t="shared" si="11" ref="T7:T154">+S7*1885</f>
        <v>0</v>
      </c>
      <c r="U7" s="16"/>
      <c r="V7" s="16">
        <f aca="true" t="shared" si="12" ref="V7:V154">+U7*580.64</f>
        <v>0</v>
      </c>
      <c r="W7" s="16"/>
      <c r="X7" s="16"/>
      <c r="Y7" s="16"/>
      <c r="Z7" s="16">
        <f aca="true" t="shared" si="13" ref="Z7:Z251">+Y7*5887</f>
        <v>0</v>
      </c>
      <c r="AA7" s="16"/>
      <c r="AB7" s="16">
        <f aca="true" t="shared" si="14" ref="AB7:AB247">+AA7*14500</f>
        <v>0</v>
      </c>
      <c r="AC7" s="16"/>
      <c r="AD7" s="16">
        <f aca="true" t="shared" si="15" ref="AD7:AD154">+AC7*626.4</f>
        <v>0</v>
      </c>
      <c r="AE7" s="16"/>
      <c r="AF7" s="16">
        <f aca="true" t="shared" si="16" ref="AF7:AF154">+AE7*2040.44</f>
        <v>0</v>
      </c>
      <c r="AG7" s="16"/>
      <c r="AH7" s="16">
        <f aca="true" t="shared" si="17" ref="AH7:AH154">+AG7*6631.72</f>
        <v>0</v>
      </c>
      <c r="AI7" s="16"/>
      <c r="AJ7" s="16">
        <f aca="true" t="shared" si="18" ref="AJ7:AJ247">+AI7*464</f>
        <v>0</v>
      </c>
      <c r="AK7" s="16"/>
      <c r="AL7" s="16">
        <f aca="true" t="shared" si="19" ref="AL7:AL154">+AK7*63.8</f>
        <v>0</v>
      </c>
      <c r="AM7" s="16"/>
      <c r="AN7" s="16">
        <f t="shared" si="2"/>
        <v>0</v>
      </c>
      <c r="AO7" s="16"/>
      <c r="AP7" s="16">
        <f aca="true" t="shared" si="20" ref="AP7:AP154">+AO7*272.6</f>
        <v>0</v>
      </c>
      <c r="AQ7" s="16"/>
      <c r="AR7" s="16">
        <f aca="true" t="shared" si="21" ref="AR7:AR251">+AQ7*324.8</f>
        <v>0</v>
      </c>
      <c r="AS7" s="16"/>
      <c r="AT7" s="16">
        <f aca="true" t="shared" si="22" ref="AT7:AT247">+AS7*323.8</f>
        <v>0</v>
      </c>
      <c r="AU7" s="16"/>
      <c r="AV7" s="16">
        <f aca="true" t="shared" si="23" ref="AV7:AV154">+AU7*6465.76</f>
        <v>0</v>
      </c>
      <c r="AW7" s="16"/>
      <c r="AX7" s="16">
        <f t="shared" si="3"/>
        <v>0</v>
      </c>
      <c r="AY7" s="16"/>
      <c r="AZ7" s="16">
        <f aca="true" t="shared" si="24" ref="AZ7:AZ251">+AY7*3229.53</f>
        <v>0</v>
      </c>
      <c r="BA7" s="16"/>
      <c r="BB7" s="16">
        <f aca="true" t="shared" si="25" ref="BB7:BB247">+BA7*7141.47</f>
        <v>0</v>
      </c>
      <c r="BC7" s="11">
        <f t="shared" si="4"/>
        <v>0</v>
      </c>
      <c r="BD7" s="17"/>
      <c r="BE7" s="17"/>
      <c r="BF7" s="17"/>
      <c r="BG7" s="16">
        <f t="shared" si="5"/>
        <v>0</v>
      </c>
      <c r="BH7" s="17">
        <v>60</v>
      </c>
      <c r="BI7" s="17">
        <v>350000</v>
      </c>
    </row>
    <row r="8" spans="1:61" ht="12.75">
      <c r="A8" s="20">
        <v>35845</v>
      </c>
      <c r="B8" s="22" t="s">
        <v>829</v>
      </c>
      <c r="C8" s="21" t="s">
        <v>913</v>
      </c>
      <c r="D8" s="21" t="s">
        <v>884</v>
      </c>
      <c r="E8" s="17"/>
      <c r="F8" s="16">
        <f t="shared" si="0"/>
        <v>0</v>
      </c>
      <c r="G8" s="17"/>
      <c r="H8" s="16">
        <f t="shared" si="1"/>
        <v>0</v>
      </c>
      <c r="I8" s="16"/>
      <c r="J8" s="16">
        <f t="shared" si="6"/>
        <v>0</v>
      </c>
      <c r="K8" s="16"/>
      <c r="L8" s="16">
        <f t="shared" si="7"/>
        <v>0</v>
      </c>
      <c r="M8" s="16"/>
      <c r="N8" s="16">
        <f t="shared" si="8"/>
        <v>0</v>
      </c>
      <c r="O8" s="16"/>
      <c r="P8" s="16">
        <f t="shared" si="9"/>
        <v>0</v>
      </c>
      <c r="Q8" s="16"/>
      <c r="R8" s="16">
        <f t="shared" si="10"/>
        <v>0</v>
      </c>
      <c r="S8" s="16"/>
      <c r="T8" s="16">
        <f t="shared" si="11"/>
        <v>0</v>
      </c>
      <c r="U8" s="16"/>
      <c r="V8" s="16">
        <f t="shared" si="12"/>
        <v>0</v>
      </c>
      <c r="W8" s="16"/>
      <c r="X8" s="16"/>
      <c r="Y8" s="16"/>
      <c r="Z8" s="16">
        <f t="shared" si="13"/>
        <v>0</v>
      </c>
      <c r="AA8" s="16"/>
      <c r="AB8" s="16">
        <f t="shared" si="14"/>
        <v>0</v>
      </c>
      <c r="AC8" s="16"/>
      <c r="AD8" s="16">
        <f t="shared" si="15"/>
        <v>0</v>
      </c>
      <c r="AE8" s="16"/>
      <c r="AF8" s="16">
        <f t="shared" si="16"/>
        <v>0</v>
      </c>
      <c r="AG8" s="16"/>
      <c r="AH8" s="16">
        <f t="shared" si="17"/>
        <v>0</v>
      </c>
      <c r="AI8" s="16"/>
      <c r="AJ8" s="16">
        <f t="shared" si="18"/>
        <v>0</v>
      </c>
      <c r="AK8" s="16"/>
      <c r="AL8" s="16">
        <f t="shared" si="19"/>
        <v>0</v>
      </c>
      <c r="AM8" s="16"/>
      <c r="AN8" s="16">
        <f t="shared" si="2"/>
        <v>0</v>
      </c>
      <c r="AO8" s="16"/>
      <c r="AP8" s="16">
        <f t="shared" si="20"/>
        <v>0</v>
      </c>
      <c r="AQ8" s="16"/>
      <c r="AR8" s="16">
        <f t="shared" si="21"/>
        <v>0</v>
      </c>
      <c r="AS8" s="16"/>
      <c r="AT8" s="16">
        <f t="shared" si="22"/>
        <v>0</v>
      </c>
      <c r="AU8" s="16"/>
      <c r="AV8" s="16">
        <f t="shared" si="23"/>
        <v>0</v>
      </c>
      <c r="AW8" s="16"/>
      <c r="AX8" s="16">
        <f t="shared" si="3"/>
        <v>0</v>
      </c>
      <c r="AY8" s="16"/>
      <c r="AZ8" s="16">
        <f t="shared" si="24"/>
        <v>0</v>
      </c>
      <c r="BA8" s="16"/>
      <c r="BB8" s="16">
        <f t="shared" si="25"/>
        <v>0</v>
      </c>
      <c r="BC8" s="11">
        <f t="shared" si="4"/>
        <v>0</v>
      </c>
      <c r="BD8" s="17"/>
      <c r="BE8" s="17"/>
      <c r="BF8" s="17">
        <v>200</v>
      </c>
      <c r="BG8" s="16">
        <f t="shared" si="5"/>
        <v>4600000</v>
      </c>
      <c r="BH8" s="17"/>
      <c r="BI8" s="17"/>
    </row>
    <row r="9" spans="1:61" ht="12.75">
      <c r="A9" s="20">
        <v>35852</v>
      </c>
      <c r="B9" s="22" t="s">
        <v>13</v>
      </c>
      <c r="C9" s="21" t="s">
        <v>14</v>
      </c>
      <c r="D9" s="21" t="s">
        <v>884</v>
      </c>
      <c r="E9" s="17"/>
      <c r="F9" s="16">
        <f t="shared" si="0"/>
        <v>0</v>
      </c>
      <c r="G9" s="17"/>
      <c r="H9" s="16">
        <f t="shared" si="1"/>
        <v>0</v>
      </c>
      <c r="I9" s="16"/>
      <c r="J9" s="16">
        <f t="shared" si="6"/>
        <v>0</v>
      </c>
      <c r="K9" s="16"/>
      <c r="L9" s="16">
        <f t="shared" si="7"/>
        <v>0</v>
      </c>
      <c r="M9" s="16"/>
      <c r="N9" s="16">
        <f t="shared" si="8"/>
        <v>0</v>
      </c>
      <c r="O9" s="16"/>
      <c r="P9" s="16">
        <f t="shared" si="9"/>
        <v>0</v>
      </c>
      <c r="Q9" s="16"/>
      <c r="R9" s="16">
        <f t="shared" si="10"/>
        <v>0</v>
      </c>
      <c r="S9" s="16"/>
      <c r="T9" s="16">
        <f t="shared" si="11"/>
        <v>0</v>
      </c>
      <c r="U9" s="16"/>
      <c r="V9" s="16">
        <f t="shared" si="12"/>
        <v>0</v>
      </c>
      <c r="W9" s="16"/>
      <c r="X9" s="16"/>
      <c r="Y9" s="16"/>
      <c r="Z9" s="16">
        <f t="shared" si="13"/>
        <v>0</v>
      </c>
      <c r="AA9" s="16"/>
      <c r="AB9" s="16">
        <f t="shared" si="14"/>
        <v>0</v>
      </c>
      <c r="AC9" s="16"/>
      <c r="AD9" s="16">
        <f t="shared" si="15"/>
        <v>0</v>
      </c>
      <c r="AE9" s="16"/>
      <c r="AF9" s="16">
        <f t="shared" si="16"/>
        <v>0</v>
      </c>
      <c r="AG9" s="16"/>
      <c r="AH9" s="16">
        <f t="shared" si="17"/>
        <v>0</v>
      </c>
      <c r="AI9" s="16"/>
      <c r="AJ9" s="16">
        <f t="shared" si="18"/>
        <v>0</v>
      </c>
      <c r="AK9" s="16"/>
      <c r="AL9" s="16">
        <f t="shared" si="19"/>
        <v>0</v>
      </c>
      <c r="AM9" s="16"/>
      <c r="AN9" s="16">
        <f t="shared" si="2"/>
        <v>0</v>
      </c>
      <c r="AO9" s="16"/>
      <c r="AP9" s="16">
        <f t="shared" si="20"/>
        <v>0</v>
      </c>
      <c r="AQ9" s="16"/>
      <c r="AR9" s="16">
        <f t="shared" si="21"/>
        <v>0</v>
      </c>
      <c r="AS9" s="16"/>
      <c r="AT9" s="16">
        <f t="shared" si="22"/>
        <v>0</v>
      </c>
      <c r="AU9" s="16"/>
      <c r="AV9" s="16">
        <f t="shared" si="23"/>
        <v>0</v>
      </c>
      <c r="AW9" s="16"/>
      <c r="AX9" s="16">
        <f t="shared" si="3"/>
        <v>0</v>
      </c>
      <c r="AY9" s="16"/>
      <c r="AZ9" s="16">
        <f t="shared" si="24"/>
        <v>0</v>
      </c>
      <c r="BA9" s="16"/>
      <c r="BB9" s="16">
        <f t="shared" si="25"/>
        <v>0</v>
      </c>
      <c r="BC9" s="11">
        <f t="shared" si="4"/>
        <v>0</v>
      </c>
      <c r="BD9" s="17"/>
      <c r="BE9" s="17"/>
      <c r="BF9" s="17"/>
      <c r="BG9" s="16">
        <f t="shared" si="5"/>
        <v>0</v>
      </c>
      <c r="BH9" s="17"/>
      <c r="BI9" s="17"/>
    </row>
    <row r="10" spans="1:61" ht="12.75">
      <c r="A10" s="20">
        <v>39501</v>
      </c>
      <c r="B10" s="22" t="s">
        <v>22</v>
      </c>
      <c r="C10" s="21" t="s">
        <v>23</v>
      </c>
      <c r="D10" s="21" t="s">
        <v>821</v>
      </c>
      <c r="E10" s="17"/>
      <c r="F10" s="16">
        <f t="shared" si="0"/>
        <v>0</v>
      </c>
      <c r="G10" s="17"/>
      <c r="H10" s="16">
        <f t="shared" si="1"/>
        <v>0</v>
      </c>
      <c r="I10" s="16"/>
      <c r="J10" s="16">
        <f t="shared" si="6"/>
        <v>0</v>
      </c>
      <c r="K10" s="16"/>
      <c r="L10" s="16">
        <f t="shared" si="7"/>
        <v>0</v>
      </c>
      <c r="M10" s="16"/>
      <c r="N10" s="16">
        <f t="shared" si="8"/>
        <v>0</v>
      </c>
      <c r="O10" s="16"/>
      <c r="P10" s="16">
        <f t="shared" si="9"/>
        <v>0</v>
      </c>
      <c r="Q10" s="16"/>
      <c r="R10" s="16">
        <f t="shared" si="10"/>
        <v>0</v>
      </c>
      <c r="S10" s="16"/>
      <c r="T10" s="16">
        <f t="shared" si="11"/>
        <v>0</v>
      </c>
      <c r="U10" s="16"/>
      <c r="V10" s="16">
        <f t="shared" si="12"/>
        <v>0</v>
      </c>
      <c r="W10" s="16"/>
      <c r="X10" s="16"/>
      <c r="Y10" s="16"/>
      <c r="Z10" s="16">
        <f t="shared" si="13"/>
        <v>0</v>
      </c>
      <c r="AA10" s="16"/>
      <c r="AB10" s="16">
        <f t="shared" si="14"/>
        <v>0</v>
      </c>
      <c r="AC10" s="16"/>
      <c r="AD10" s="16">
        <f t="shared" si="15"/>
        <v>0</v>
      </c>
      <c r="AE10" s="16"/>
      <c r="AF10" s="16">
        <f t="shared" si="16"/>
        <v>0</v>
      </c>
      <c r="AG10" s="16"/>
      <c r="AH10" s="16">
        <f t="shared" si="17"/>
        <v>0</v>
      </c>
      <c r="AI10" s="16"/>
      <c r="AJ10" s="16">
        <f t="shared" si="18"/>
        <v>0</v>
      </c>
      <c r="AK10" s="16"/>
      <c r="AL10" s="16">
        <f t="shared" si="19"/>
        <v>0</v>
      </c>
      <c r="AM10" s="16"/>
      <c r="AN10" s="16">
        <f t="shared" si="2"/>
        <v>0</v>
      </c>
      <c r="AO10" s="16"/>
      <c r="AP10" s="16">
        <f t="shared" si="20"/>
        <v>0</v>
      </c>
      <c r="AQ10" s="16"/>
      <c r="AR10" s="16">
        <f t="shared" si="21"/>
        <v>0</v>
      </c>
      <c r="AS10" s="16"/>
      <c r="AT10" s="16">
        <f t="shared" si="22"/>
        <v>0</v>
      </c>
      <c r="AU10" s="16"/>
      <c r="AV10" s="16">
        <f t="shared" si="23"/>
        <v>0</v>
      </c>
      <c r="AW10" s="16"/>
      <c r="AX10" s="16">
        <f t="shared" si="3"/>
        <v>0</v>
      </c>
      <c r="AY10" s="16"/>
      <c r="AZ10" s="16">
        <f t="shared" si="24"/>
        <v>0</v>
      </c>
      <c r="BA10" s="16"/>
      <c r="BB10" s="16">
        <f t="shared" si="25"/>
        <v>0</v>
      </c>
      <c r="BC10" s="11">
        <f t="shared" si="4"/>
        <v>0</v>
      </c>
      <c r="BD10" s="17"/>
      <c r="BE10" s="17"/>
      <c r="BF10" s="17">
        <v>400</v>
      </c>
      <c r="BG10" s="16">
        <f t="shared" si="5"/>
        <v>9200000</v>
      </c>
      <c r="BH10" s="17"/>
      <c r="BI10" s="17"/>
    </row>
    <row r="11" spans="1:61" ht="12.75">
      <c r="A11" s="20">
        <v>35850</v>
      </c>
      <c r="B11" s="22" t="s">
        <v>39</v>
      </c>
      <c r="C11" s="21" t="s">
        <v>40</v>
      </c>
      <c r="D11" s="21" t="s">
        <v>884</v>
      </c>
      <c r="E11" s="17"/>
      <c r="F11" s="16">
        <f t="shared" si="0"/>
        <v>0</v>
      </c>
      <c r="G11" s="17"/>
      <c r="H11" s="16">
        <f t="shared" si="1"/>
        <v>0</v>
      </c>
      <c r="I11" s="16"/>
      <c r="J11" s="16">
        <f t="shared" si="6"/>
        <v>0</v>
      </c>
      <c r="K11" s="16"/>
      <c r="L11" s="16">
        <f t="shared" si="7"/>
        <v>0</v>
      </c>
      <c r="M11" s="16"/>
      <c r="N11" s="16">
        <f t="shared" si="8"/>
        <v>0</v>
      </c>
      <c r="O11" s="16"/>
      <c r="P11" s="16">
        <f t="shared" si="9"/>
        <v>0</v>
      </c>
      <c r="Q11" s="16"/>
      <c r="R11" s="16">
        <f t="shared" si="10"/>
        <v>0</v>
      </c>
      <c r="S11" s="16"/>
      <c r="T11" s="16">
        <f t="shared" si="11"/>
        <v>0</v>
      </c>
      <c r="U11" s="16"/>
      <c r="V11" s="16">
        <f t="shared" si="12"/>
        <v>0</v>
      </c>
      <c r="W11" s="16"/>
      <c r="X11" s="16"/>
      <c r="Y11" s="16"/>
      <c r="Z11" s="16">
        <f t="shared" si="13"/>
        <v>0</v>
      </c>
      <c r="AA11" s="16"/>
      <c r="AB11" s="16">
        <f t="shared" si="14"/>
        <v>0</v>
      </c>
      <c r="AC11" s="16"/>
      <c r="AD11" s="16">
        <f t="shared" si="15"/>
        <v>0</v>
      </c>
      <c r="AE11" s="16"/>
      <c r="AF11" s="16">
        <f t="shared" si="16"/>
        <v>0</v>
      </c>
      <c r="AG11" s="16"/>
      <c r="AH11" s="16">
        <f t="shared" si="17"/>
        <v>0</v>
      </c>
      <c r="AI11" s="16"/>
      <c r="AJ11" s="16">
        <f t="shared" si="18"/>
        <v>0</v>
      </c>
      <c r="AK11" s="16"/>
      <c r="AL11" s="16">
        <f t="shared" si="19"/>
        <v>0</v>
      </c>
      <c r="AM11" s="16"/>
      <c r="AN11" s="16">
        <f t="shared" si="2"/>
        <v>0</v>
      </c>
      <c r="AO11" s="16"/>
      <c r="AP11" s="16">
        <f t="shared" si="20"/>
        <v>0</v>
      </c>
      <c r="AQ11" s="16"/>
      <c r="AR11" s="16">
        <f t="shared" si="21"/>
        <v>0</v>
      </c>
      <c r="AS11" s="16"/>
      <c r="AT11" s="16">
        <f t="shared" si="22"/>
        <v>0</v>
      </c>
      <c r="AU11" s="16"/>
      <c r="AV11" s="16">
        <f t="shared" si="23"/>
        <v>0</v>
      </c>
      <c r="AW11" s="16"/>
      <c r="AX11" s="16">
        <f t="shared" si="3"/>
        <v>0</v>
      </c>
      <c r="AY11" s="16"/>
      <c r="AZ11" s="16">
        <f t="shared" si="24"/>
        <v>0</v>
      </c>
      <c r="BA11" s="16"/>
      <c r="BB11" s="16">
        <f t="shared" si="25"/>
        <v>0</v>
      </c>
      <c r="BC11" s="11">
        <f t="shared" si="4"/>
        <v>0</v>
      </c>
      <c r="BD11" s="17"/>
      <c r="BE11" s="17"/>
      <c r="BF11" s="17">
        <v>1000</v>
      </c>
      <c r="BG11" s="16">
        <f t="shared" si="5"/>
        <v>23000000</v>
      </c>
      <c r="BH11" s="17"/>
      <c r="BI11" s="17"/>
    </row>
    <row r="12" spans="1:61" ht="12.75">
      <c r="A12" s="20">
        <v>35831</v>
      </c>
      <c r="B12" s="22" t="s">
        <v>41</v>
      </c>
      <c r="C12" s="21" t="s">
        <v>42</v>
      </c>
      <c r="D12" s="21" t="s">
        <v>36</v>
      </c>
      <c r="E12" s="17"/>
      <c r="F12" s="16">
        <f t="shared" si="0"/>
        <v>0</v>
      </c>
      <c r="G12" s="17"/>
      <c r="H12" s="16">
        <f t="shared" si="1"/>
        <v>0</v>
      </c>
      <c r="I12" s="16"/>
      <c r="J12" s="16">
        <f t="shared" si="6"/>
        <v>0</v>
      </c>
      <c r="K12" s="16"/>
      <c r="L12" s="16">
        <f t="shared" si="7"/>
        <v>0</v>
      </c>
      <c r="M12" s="16"/>
      <c r="N12" s="16">
        <f t="shared" si="8"/>
        <v>0</v>
      </c>
      <c r="O12" s="16"/>
      <c r="P12" s="16">
        <f t="shared" si="9"/>
        <v>0</v>
      </c>
      <c r="Q12" s="16">
        <v>60</v>
      </c>
      <c r="R12" s="16">
        <f t="shared" si="10"/>
        <v>1635600</v>
      </c>
      <c r="S12" s="16"/>
      <c r="T12" s="16">
        <f t="shared" si="11"/>
        <v>0</v>
      </c>
      <c r="U12" s="16"/>
      <c r="V12" s="16">
        <f t="shared" si="12"/>
        <v>0</v>
      </c>
      <c r="W12" s="16"/>
      <c r="X12" s="16"/>
      <c r="Y12" s="16"/>
      <c r="Z12" s="16">
        <f t="shared" si="13"/>
        <v>0</v>
      </c>
      <c r="AA12" s="16"/>
      <c r="AB12" s="16">
        <f t="shared" si="14"/>
        <v>0</v>
      </c>
      <c r="AC12" s="16"/>
      <c r="AD12" s="16">
        <f t="shared" si="15"/>
        <v>0</v>
      </c>
      <c r="AE12" s="16"/>
      <c r="AF12" s="16">
        <f t="shared" si="16"/>
        <v>0</v>
      </c>
      <c r="AG12" s="16"/>
      <c r="AH12" s="16">
        <f t="shared" si="17"/>
        <v>0</v>
      </c>
      <c r="AI12" s="16"/>
      <c r="AJ12" s="16">
        <f t="shared" si="18"/>
        <v>0</v>
      </c>
      <c r="AK12" s="16"/>
      <c r="AL12" s="16">
        <f t="shared" si="19"/>
        <v>0</v>
      </c>
      <c r="AM12" s="16"/>
      <c r="AN12" s="16">
        <f t="shared" si="2"/>
        <v>0</v>
      </c>
      <c r="AO12" s="16">
        <v>1620</v>
      </c>
      <c r="AP12" s="16">
        <f t="shared" si="20"/>
        <v>441612.00000000006</v>
      </c>
      <c r="AQ12" s="16"/>
      <c r="AR12" s="16">
        <f t="shared" si="21"/>
        <v>0</v>
      </c>
      <c r="AS12" s="16"/>
      <c r="AT12" s="16">
        <f t="shared" si="22"/>
        <v>0</v>
      </c>
      <c r="AU12" s="16">
        <v>180</v>
      </c>
      <c r="AV12" s="16">
        <f t="shared" si="23"/>
        <v>1163836.8</v>
      </c>
      <c r="AW12" s="16">
        <v>180</v>
      </c>
      <c r="AX12" s="16">
        <f t="shared" si="3"/>
        <v>1141583.4</v>
      </c>
      <c r="AY12" s="16"/>
      <c r="AZ12" s="16">
        <f t="shared" si="24"/>
        <v>0</v>
      </c>
      <c r="BA12" s="16">
        <v>90</v>
      </c>
      <c r="BB12" s="16">
        <f t="shared" si="25"/>
        <v>642732.3</v>
      </c>
      <c r="BC12" s="11">
        <f t="shared" si="4"/>
        <v>5025364.499999999</v>
      </c>
      <c r="BD12" s="17"/>
      <c r="BE12" s="17"/>
      <c r="BF12" s="17"/>
      <c r="BG12" s="16">
        <f t="shared" si="5"/>
        <v>0</v>
      </c>
      <c r="BH12" s="17"/>
      <c r="BI12" s="17"/>
    </row>
    <row r="13" spans="1:61" ht="12.75">
      <c r="A13" s="20">
        <v>35834</v>
      </c>
      <c r="B13" s="22" t="s">
        <v>899</v>
      </c>
      <c r="C13" s="21" t="s">
        <v>44</v>
      </c>
      <c r="D13" s="21" t="s">
        <v>821</v>
      </c>
      <c r="E13" s="17"/>
      <c r="F13" s="16">
        <f t="shared" si="0"/>
        <v>0</v>
      </c>
      <c r="G13" s="17"/>
      <c r="H13" s="16">
        <f t="shared" si="1"/>
        <v>0</v>
      </c>
      <c r="I13" s="16"/>
      <c r="J13" s="16">
        <f t="shared" si="6"/>
        <v>0</v>
      </c>
      <c r="K13" s="16"/>
      <c r="L13" s="16">
        <f t="shared" si="7"/>
        <v>0</v>
      </c>
      <c r="M13" s="16"/>
      <c r="N13" s="16">
        <f t="shared" si="8"/>
        <v>0</v>
      </c>
      <c r="O13" s="16"/>
      <c r="P13" s="16">
        <f t="shared" si="9"/>
        <v>0</v>
      </c>
      <c r="Q13" s="16">
        <v>50</v>
      </c>
      <c r="R13" s="16">
        <f t="shared" si="10"/>
        <v>1363000</v>
      </c>
      <c r="S13" s="16"/>
      <c r="T13" s="16">
        <f t="shared" si="11"/>
        <v>0</v>
      </c>
      <c r="U13" s="16"/>
      <c r="V13" s="16">
        <f t="shared" si="12"/>
        <v>0</v>
      </c>
      <c r="W13" s="16"/>
      <c r="X13" s="16"/>
      <c r="Y13" s="16"/>
      <c r="Z13" s="16">
        <f t="shared" si="13"/>
        <v>0</v>
      </c>
      <c r="AA13" s="16"/>
      <c r="AB13" s="16">
        <f t="shared" si="14"/>
        <v>0</v>
      </c>
      <c r="AC13" s="16"/>
      <c r="AD13" s="16">
        <f t="shared" si="15"/>
        <v>0</v>
      </c>
      <c r="AE13" s="16"/>
      <c r="AF13" s="16">
        <f t="shared" si="16"/>
        <v>0</v>
      </c>
      <c r="AG13" s="16"/>
      <c r="AH13" s="16">
        <f t="shared" si="17"/>
        <v>0</v>
      </c>
      <c r="AI13" s="16"/>
      <c r="AJ13" s="16">
        <f t="shared" si="18"/>
        <v>0</v>
      </c>
      <c r="AK13" s="16"/>
      <c r="AL13" s="16">
        <f t="shared" si="19"/>
        <v>0</v>
      </c>
      <c r="AM13" s="16"/>
      <c r="AN13" s="16">
        <f t="shared" si="2"/>
        <v>0</v>
      </c>
      <c r="AO13" s="16"/>
      <c r="AP13" s="16">
        <f t="shared" si="20"/>
        <v>0</v>
      </c>
      <c r="AQ13" s="16"/>
      <c r="AR13" s="16">
        <f t="shared" si="21"/>
        <v>0</v>
      </c>
      <c r="AS13" s="16"/>
      <c r="AT13" s="16">
        <f t="shared" si="22"/>
        <v>0</v>
      </c>
      <c r="AU13" s="16"/>
      <c r="AV13" s="16">
        <f t="shared" si="23"/>
        <v>0</v>
      </c>
      <c r="AW13" s="16"/>
      <c r="AX13" s="16">
        <f t="shared" si="3"/>
        <v>0</v>
      </c>
      <c r="AY13" s="16"/>
      <c r="AZ13" s="16">
        <f t="shared" si="24"/>
        <v>0</v>
      </c>
      <c r="BA13" s="16"/>
      <c r="BB13" s="16">
        <f t="shared" si="25"/>
        <v>0</v>
      </c>
      <c r="BC13" s="11">
        <f t="shared" si="4"/>
        <v>1363000</v>
      </c>
      <c r="BD13" s="17"/>
      <c r="BE13" s="17"/>
      <c r="BF13" s="17"/>
      <c r="BG13" s="16">
        <f t="shared" si="5"/>
        <v>0</v>
      </c>
      <c r="BH13" s="17"/>
      <c r="BI13" s="17"/>
    </row>
    <row r="14" spans="1:61" ht="12.75">
      <c r="A14" s="20">
        <v>35834</v>
      </c>
      <c r="B14" s="22" t="s">
        <v>899</v>
      </c>
      <c r="C14" s="21" t="s">
        <v>46</v>
      </c>
      <c r="D14" s="21" t="s">
        <v>891</v>
      </c>
      <c r="E14" s="17"/>
      <c r="F14" s="16">
        <f t="shared" si="0"/>
        <v>0</v>
      </c>
      <c r="G14" s="17"/>
      <c r="H14" s="16">
        <f t="shared" si="1"/>
        <v>0</v>
      </c>
      <c r="I14" s="16"/>
      <c r="J14" s="16">
        <f t="shared" si="6"/>
        <v>0</v>
      </c>
      <c r="K14" s="16"/>
      <c r="L14" s="16">
        <f t="shared" si="7"/>
        <v>0</v>
      </c>
      <c r="M14" s="16"/>
      <c r="N14" s="16">
        <f t="shared" si="8"/>
        <v>0</v>
      </c>
      <c r="O14" s="16"/>
      <c r="P14" s="16">
        <f t="shared" si="9"/>
        <v>0</v>
      </c>
      <c r="Q14" s="16">
        <v>360</v>
      </c>
      <c r="R14" s="16">
        <f t="shared" si="10"/>
        <v>9813600</v>
      </c>
      <c r="S14" s="16"/>
      <c r="T14" s="16">
        <f t="shared" si="11"/>
        <v>0</v>
      </c>
      <c r="U14" s="16"/>
      <c r="V14" s="16">
        <f t="shared" si="12"/>
        <v>0</v>
      </c>
      <c r="W14" s="16"/>
      <c r="X14" s="16"/>
      <c r="Y14" s="16"/>
      <c r="Z14" s="16">
        <f t="shared" si="13"/>
        <v>0</v>
      </c>
      <c r="AA14" s="16"/>
      <c r="AB14" s="16">
        <f t="shared" si="14"/>
        <v>0</v>
      </c>
      <c r="AC14" s="16"/>
      <c r="AD14" s="16">
        <f t="shared" si="15"/>
        <v>0</v>
      </c>
      <c r="AE14" s="16"/>
      <c r="AF14" s="16">
        <f t="shared" si="16"/>
        <v>0</v>
      </c>
      <c r="AG14" s="16"/>
      <c r="AH14" s="16">
        <f t="shared" si="17"/>
        <v>0</v>
      </c>
      <c r="AI14" s="16"/>
      <c r="AJ14" s="16">
        <f t="shared" si="18"/>
        <v>0</v>
      </c>
      <c r="AK14" s="16"/>
      <c r="AL14" s="16">
        <f t="shared" si="19"/>
        <v>0</v>
      </c>
      <c r="AM14" s="16"/>
      <c r="AN14" s="16">
        <f t="shared" si="2"/>
        <v>0</v>
      </c>
      <c r="AO14" s="16"/>
      <c r="AP14" s="16">
        <f t="shared" si="20"/>
        <v>0</v>
      </c>
      <c r="AQ14" s="16"/>
      <c r="AR14" s="16">
        <f t="shared" si="21"/>
        <v>0</v>
      </c>
      <c r="AS14" s="16"/>
      <c r="AT14" s="16">
        <f t="shared" si="22"/>
        <v>0</v>
      </c>
      <c r="AU14" s="16"/>
      <c r="AV14" s="16">
        <f t="shared" si="23"/>
        <v>0</v>
      </c>
      <c r="AW14" s="16"/>
      <c r="AX14" s="16">
        <f t="shared" si="3"/>
        <v>0</v>
      </c>
      <c r="AY14" s="16"/>
      <c r="AZ14" s="16">
        <f t="shared" si="24"/>
        <v>0</v>
      </c>
      <c r="BA14" s="16"/>
      <c r="BB14" s="16">
        <f t="shared" si="25"/>
        <v>0</v>
      </c>
      <c r="BC14" s="11">
        <f t="shared" si="4"/>
        <v>9813600</v>
      </c>
      <c r="BD14" s="17"/>
      <c r="BE14" s="17"/>
      <c r="BF14" s="17">
        <v>450</v>
      </c>
      <c r="BG14" s="16">
        <f t="shared" si="5"/>
        <v>10350000</v>
      </c>
      <c r="BH14" s="17"/>
      <c r="BI14" s="17"/>
    </row>
    <row r="15" spans="1:61" ht="12.75">
      <c r="A15" s="20">
        <v>35834</v>
      </c>
      <c r="B15" s="22" t="s">
        <v>899</v>
      </c>
      <c r="C15" s="21" t="s">
        <v>900</v>
      </c>
      <c r="D15" s="21" t="s">
        <v>891</v>
      </c>
      <c r="E15" s="17"/>
      <c r="F15" s="16">
        <f t="shared" si="0"/>
        <v>0</v>
      </c>
      <c r="G15" s="17"/>
      <c r="H15" s="16">
        <f t="shared" si="1"/>
        <v>0</v>
      </c>
      <c r="I15" s="16"/>
      <c r="J15" s="16">
        <f t="shared" si="6"/>
        <v>0</v>
      </c>
      <c r="K15" s="16"/>
      <c r="L15" s="16">
        <f t="shared" si="7"/>
        <v>0</v>
      </c>
      <c r="M15" s="16"/>
      <c r="N15" s="16">
        <f t="shared" si="8"/>
        <v>0</v>
      </c>
      <c r="O15" s="16"/>
      <c r="P15" s="16">
        <f t="shared" si="9"/>
        <v>0</v>
      </c>
      <c r="Q15" s="16">
        <v>15</v>
      </c>
      <c r="R15" s="16">
        <f t="shared" si="10"/>
        <v>408900</v>
      </c>
      <c r="S15" s="16"/>
      <c r="T15" s="16">
        <f t="shared" si="11"/>
        <v>0</v>
      </c>
      <c r="U15" s="16"/>
      <c r="V15" s="16">
        <f t="shared" si="12"/>
        <v>0</v>
      </c>
      <c r="W15" s="16"/>
      <c r="X15" s="16"/>
      <c r="Y15" s="16"/>
      <c r="Z15" s="16">
        <f t="shared" si="13"/>
        <v>0</v>
      </c>
      <c r="AA15" s="16"/>
      <c r="AB15" s="16">
        <f t="shared" si="14"/>
        <v>0</v>
      </c>
      <c r="AC15" s="16"/>
      <c r="AD15" s="16">
        <f t="shared" si="15"/>
        <v>0</v>
      </c>
      <c r="AE15" s="16"/>
      <c r="AF15" s="16">
        <f t="shared" si="16"/>
        <v>0</v>
      </c>
      <c r="AG15" s="16"/>
      <c r="AH15" s="16">
        <f t="shared" si="17"/>
        <v>0</v>
      </c>
      <c r="AI15" s="16"/>
      <c r="AJ15" s="16">
        <f t="shared" si="18"/>
        <v>0</v>
      </c>
      <c r="AK15" s="16"/>
      <c r="AL15" s="16">
        <f t="shared" si="19"/>
        <v>0</v>
      </c>
      <c r="AM15" s="16"/>
      <c r="AN15" s="16">
        <f t="shared" si="2"/>
        <v>0</v>
      </c>
      <c r="AO15" s="16"/>
      <c r="AP15" s="16">
        <f t="shared" si="20"/>
        <v>0</v>
      </c>
      <c r="AQ15" s="16"/>
      <c r="AR15" s="16">
        <f t="shared" si="21"/>
        <v>0</v>
      </c>
      <c r="AS15" s="16"/>
      <c r="AT15" s="16">
        <f t="shared" si="22"/>
        <v>0</v>
      </c>
      <c r="AU15" s="16"/>
      <c r="AV15" s="16">
        <f t="shared" si="23"/>
        <v>0</v>
      </c>
      <c r="AW15" s="16"/>
      <c r="AX15" s="16">
        <f t="shared" si="3"/>
        <v>0</v>
      </c>
      <c r="AY15" s="16"/>
      <c r="AZ15" s="16">
        <f t="shared" si="24"/>
        <v>0</v>
      </c>
      <c r="BA15" s="16"/>
      <c r="BB15" s="16">
        <f t="shared" si="25"/>
        <v>0</v>
      </c>
      <c r="BC15" s="11">
        <f t="shared" si="4"/>
        <v>408900</v>
      </c>
      <c r="BD15" s="17"/>
      <c r="BE15" s="17"/>
      <c r="BF15" s="17">
        <v>25</v>
      </c>
      <c r="BG15" s="16">
        <f t="shared" si="5"/>
        <v>575000</v>
      </c>
      <c r="BH15" s="17"/>
      <c r="BI15" s="17"/>
    </row>
    <row r="16" spans="1:61" ht="12.75">
      <c r="A16" s="20">
        <v>35852</v>
      </c>
      <c r="B16" s="22" t="s">
        <v>48</v>
      </c>
      <c r="C16" s="21" t="s">
        <v>48</v>
      </c>
      <c r="D16" s="21" t="s">
        <v>884</v>
      </c>
      <c r="E16" s="17"/>
      <c r="F16" s="16">
        <f t="shared" si="0"/>
        <v>0</v>
      </c>
      <c r="G16" s="17"/>
      <c r="H16" s="16">
        <f t="shared" si="1"/>
        <v>0</v>
      </c>
      <c r="I16" s="16"/>
      <c r="J16" s="16">
        <f t="shared" si="6"/>
        <v>0</v>
      </c>
      <c r="K16" s="16"/>
      <c r="L16" s="16">
        <f t="shared" si="7"/>
        <v>0</v>
      </c>
      <c r="M16" s="16"/>
      <c r="N16" s="16">
        <f t="shared" si="8"/>
        <v>0</v>
      </c>
      <c r="O16" s="16"/>
      <c r="P16" s="16">
        <f t="shared" si="9"/>
        <v>0</v>
      </c>
      <c r="Q16" s="16"/>
      <c r="R16" s="16">
        <f t="shared" si="10"/>
        <v>0</v>
      </c>
      <c r="S16" s="16"/>
      <c r="T16" s="16">
        <f t="shared" si="11"/>
        <v>0</v>
      </c>
      <c r="U16" s="16"/>
      <c r="V16" s="16">
        <f t="shared" si="12"/>
        <v>0</v>
      </c>
      <c r="W16" s="16"/>
      <c r="X16" s="16"/>
      <c r="Y16" s="16"/>
      <c r="Z16" s="16">
        <f t="shared" si="13"/>
        <v>0</v>
      </c>
      <c r="AA16" s="16"/>
      <c r="AB16" s="16">
        <f t="shared" si="14"/>
        <v>0</v>
      </c>
      <c r="AC16" s="16"/>
      <c r="AD16" s="16">
        <f t="shared" si="15"/>
        <v>0</v>
      </c>
      <c r="AE16" s="16"/>
      <c r="AF16" s="16">
        <f t="shared" si="16"/>
        <v>0</v>
      </c>
      <c r="AG16" s="16"/>
      <c r="AH16" s="16">
        <f t="shared" si="17"/>
        <v>0</v>
      </c>
      <c r="AI16" s="16"/>
      <c r="AJ16" s="16">
        <f t="shared" si="18"/>
        <v>0</v>
      </c>
      <c r="AK16" s="16"/>
      <c r="AL16" s="16">
        <f t="shared" si="19"/>
        <v>0</v>
      </c>
      <c r="AM16" s="16"/>
      <c r="AN16" s="16">
        <f t="shared" si="2"/>
        <v>0</v>
      </c>
      <c r="AO16" s="16"/>
      <c r="AP16" s="16">
        <f t="shared" si="20"/>
        <v>0</v>
      </c>
      <c r="AQ16" s="16"/>
      <c r="AR16" s="16">
        <f t="shared" si="21"/>
        <v>0</v>
      </c>
      <c r="AS16" s="16"/>
      <c r="AT16" s="16">
        <f t="shared" si="22"/>
        <v>0</v>
      </c>
      <c r="AU16" s="16"/>
      <c r="AV16" s="16">
        <f t="shared" si="23"/>
        <v>0</v>
      </c>
      <c r="AW16" s="16"/>
      <c r="AX16" s="16">
        <f t="shared" si="3"/>
        <v>0</v>
      </c>
      <c r="AY16" s="16"/>
      <c r="AZ16" s="16">
        <f t="shared" si="24"/>
        <v>0</v>
      </c>
      <c r="BA16" s="16"/>
      <c r="BB16" s="16">
        <f t="shared" si="25"/>
        <v>0</v>
      </c>
      <c r="BC16" s="11">
        <f t="shared" si="4"/>
        <v>0</v>
      </c>
      <c r="BD16" s="17"/>
      <c r="BE16" s="17"/>
      <c r="BF16" s="17">
        <v>700</v>
      </c>
      <c r="BG16" s="16">
        <v>17710000</v>
      </c>
      <c r="BH16" s="17"/>
      <c r="BI16" s="17"/>
    </row>
    <row r="17" spans="1:61" ht="12.75">
      <c r="A17" s="20">
        <v>35851</v>
      </c>
      <c r="B17" s="22" t="s">
        <v>49</v>
      </c>
      <c r="C17" s="21" t="s">
        <v>50</v>
      </c>
      <c r="D17" s="21" t="s">
        <v>884</v>
      </c>
      <c r="E17" s="17">
        <v>30</v>
      </c>
      <c r="F17" s="16">
        <f t="shared" si="0"/>
        <v>10440</v>
      </c>
      <c r="G17" s="17">
        <v>30</v>
      </c>
      <c r="H17" s="16">
        <f t="shared" si="1"/>
        <v>8874</v>
      </c>
      <c r="I17" s="16"/>
      <c r="J17" s="16">
        <f t="shared" si="6"/>
        <v>0</v>
      </c>
      <c r="K17" s="16"/>
      <c r="L17" s="16">
        <f t="shared" si="7"/>
        <v>0</v>
      </c>
      <c r="M17" s="16">
        <v>80</v>
      </c>
      <c r="N17" s="16">
        <f t="shared" si="8"/>
        <v>198816</v>
      </c>
      <c r="O17" s="16"/>
      <c r="P17" s="16">
        <f t="shared" si="9"/>
        <v>0</v>
      </c>
      <c r="Q17" s="16">
        <v>50</v>
      </c>
      <c r="R17" s="16">
        <f t="shared" si="10"/>
        <v>1363000</v>
      </c>
      <c r="S17" s="16">
        <v>30</v>
      </c>
      <c r="T17" s="16">
        <f t="shared" si="11"/>
        <v>56550</v>
      </c>
      <c r="U17" s="16">
        <v>30</v>
      </c>
      <c r="V17" s="16">
        <f t="shared" si="12"/>
        <v>17419.2</v>
      </c>
      <c r="W17" s="16"/>
      <c r="X17" s="16"/>
      <c r="Y17" s="16"/>
      <c r="Z17" s="16">
        <f t="shared" si="13"/>
        <v>0</v>
      </c>
      <c r="AA17" s="16"/>
      <c r="AB17" s="16">
        <f t="shared" si="14"/>
        <v>0</v>
      </c>
      <c r="AC17" s="16">
        <v>30</v>
      </c>
      <c r="AD17" s="16">
        <f t="shared" si="15"/>
        <v>18792</v>
      </c>
      <c r="AE17" s="16"/>
      <c r="AF17" s="16">
        <f t="shared" si="16"/>
        <v>0</v>
      </c>
      <c r="AG17" s="16"/>
      <c r="AH17" s="16">
        <f t="shared" si="17"/>
        <v>0</v>
      </c>
      <c r="AI17" s="16"/>
      <c r="AJ17" s="16">
        <f t="shared" si="18"/>
        <v>0</v>
      </c>
      <c r="AK17" s="16">
        <v>30</v>
      </c>
      <c r="AL17" s="16">
        <f t="shared" si="19"/>
        <v>1914</v>
      </c>
      <c r="AM17" s="16"/>
      <c r="AN17" s="16">
        <f t="shared" si="2"/>
        <v>0</v>
      </c>
      <c r="AO17" s="16">
        <v>80</v>
      </c>
      <c r="AP17" s="16">
        <f t="shared" si="20"/>
        <v>21808</v>
      </c>
      <c r="AQ17" s="16"/>
      <c r="AR17" s="16">
        <f t="shared" si="21"/>
        <v>0</v>
      </c>
      <c r="AS17" s="16">
        <v>80</v>
      </c>
      <c r="AT17" s="16">
        <f t="shared" si="22"/>
        <v>25904</v>
      </c>
      <c r="AU17" s="16">
        <v>80</v>
      </c>
      <c r="AV17" s="16">
        <f t="shared" si="23"/>
        <v>517260.80000000005</v>
      </c>
      <c r="AW17" s="16"/>
      <c r="AX17" s="16">
        <f t="shared" si="3"/>
        <v>0</v>
      </c>
      <c r="AY17" s="16"/>
      <c r="AZ17" s="16">
        <f t="shared" si="24"/>
        <v>0</v>
      </c>
      <c r="BA17" s="16">
        <v>80</v>
      </c>
      <c r="BB17" s="16">
        <f t="shared" si="25"/>
        <v>571317.6</v>
      </c>
      <c r="BC17" s="11">
        <f t="shared" si="4"/>
        <v>2812095.6</v>
      </c>
      <c r="BD17" s="17"/>
      <c r="BE17" s="17"/>
      <c r="BF17" s="17">
        <v>30</v>
      </c>
      <c r="BG17" s="16">
        <f t="shared" si="5"/>
        <v>690000</v>
      </c>
      <c r="BH17" s="17"/>
      <c r="BI17" s="17"/>
    </row>
    <row r="18" spans="1:61" ht="12.75">
      <c r="A18" s="20">
        <v>35852</v>
      </c>
      <c r="B18" s="22" t="s">
        <v>49</v>
      </c>
      <c r="C18" s="21" t="s">
        <v>54</v>
      </c>
      <c r="D18" s="21" t="s">
        <v>36</v>
      </c>
      <c r="E18" s="17"/>
      <c r="F18" s="16">
        <f t="shared" si="0"/>
        <v>0</v>
      </c>
      <c r="G18" s="17"/>
      <c r="H18" s="16">
        <f t="shared" si="1"/>
        <v>0</v>
      </c>
      <c r="I18" s="16"/>
      <c r="J18" s="16">
        <f t="shared" si="6"/>
        <v>0</v>
      </c>
      <c r="K18" s="16"/>
      <c r="L18" s="16">
        <f t="shared" si="7"/>
        <v>0</v>
      </c>
      <c r="M18" s="16"/>
      <c r="N18" s="16">
        <f t="shared" si="8"/>
        <v>0</v>
      </c>
      <c r="O18" s="16"/>
      <c r="P18" s="16">
        <f t="shared" si="9"/>
        <v>0</v>
      </c>
      <c r="Q18" s="16"/>
      <c r="R18" s="16">
        <f t="shared" si="10"/>
        <v>0</v>
      </c>
      <c r="S18" s="16"/>
      <c r="T18" s="16">
        <f t="shared" si="11"/>
        <v>0</v>
      </c>
      <c r="U18" s="16"/>
      <c r="V18" s="16">
        <f t="shared" si="12"/>
        <v>0</v>
      </c>
      <c r="W18" s="16"/>
      <c r="X18" s="16"/>
      <c r="Y18" s="16"/>
      <c r="Z18" s="16">
        <f t="shared" si="13"/>
        <v>0</v>
      </c>
      <c r="AA18" s="16"/>
      <c r="AB18" s="16">
        <f t="shared" si="14"/>
        <v>0</v>
      </c>
      <c r="AC18" s="16"/>
      <c r="AD18" s="16">
        <f t="shared" si="15"/>
        <v>0</v>
      </c>
      <c r="AE18" s="16"/>
      <c r="AF18" s="16">
        <f t="shared" si="16"/>
        <v>0</v>
      </c>
      <c r="AG18" s="16"/>
      <c r="AH18" s="16">
        <f t="shared" si="17"/>
        <v>0</v>
      </c>
      <c r="AI18" s="16"/>
      <c r="AJ18" s="16">
        <f t="shared" si="18"/>
        <v>0</v>
      </c>
      <c r="AK18" s="16"/>
      <c r="AL18" s="16">
        <f t="shared" si="19"/>
        <v>0</v>
      </c>
      <c r="AM18" s="16"/>
      <c r="AN18" s="16">
        <f t="shared" si="2"/>
        <v>0</v>
      </c>
      <c r="AO18" s="16"/>
      <c r="AP18" s="16">
        <f t="shared" si="20"/>
        <v>0</v>
      </c>
      <c r="AQ18" s="16"/>
      <c r="AR18" s="16">
        <f t="shared" si="21"/>
        <v>0</v>
      </c>
      <c r="AS18" s="16"/>
      <c r="AT18" s="16">
        <f t="shared" si="22"/>
        <v>0</v>
      </c>
      <c r="AU18" s="16"/>
      <c r="AV18" s="16">
        <f t="shared" si="23"/>
        <v>0</v>
      </c>
      <c r="AW18" s="16"/>
      <c r="AX18" s="16">
        <f t="shared" si="3"/>
        <v>0</v>
      </c>
      <c r="AY18" s="16"/>
      <c r="AZ18" s="16">
        <f t="shared" si="24"/>
        <v>0</v>
      </c>
      <c r="BA18" s="16"/>
      <c r="BB18" s="16">
        <f t="shared" si="25"/>
        <v>0</v>
      </c>
      <c r="BC18" s="11">
        <f t="shared" si="4"/>
        <v>0</v>
      </c>
      <c r="BD18" s="17"/>
      <c r="BE18" s="17"/>
      <c r="BF18" s="17">
        <v>300</v>
      </c>
      <c r="BG18" s="16">
        <f t="shared" si="5"/>
        <v>6900000</v>
      </c>
      <c r="BH18" s="17"/>
      <c r="BI18" s="17"/>
    </row>
    <row r="19" spans="1:61" ht="12.75">
      <c r="A19" s="20">
        <v>35885</v>
      </c>
      <c r="B19" s="22" t="s">
        <v>59</v>
      </c>
      <c r="C19" s="21" t="s">
        <v>60</v>
      </c>
      <c r="D19" s="21" t="s">
        <v>884</v>
      </c>
      <c r="E19" s="17"/>
      <c r="F19" s="16">
        <f t="shared" si="0"/>
        <v>0</v>
      </c>
      <c r="G19" s="17"/>
      <c r="H19" s="16">
        <f t="shared" si="1"/>
        <v>0</v>
      </c>
      <c r="I19" s="16"/>
      <c r="J19" s="16">
        <f t="shared" si="6"/>
        <v>0</v>
      </c>
      <c r="K19" s="16"/>
      <c r="L19" s="16">
        <f t="shared" si="7"/>
        <v>0</v>
      </c>
      <c r="M19" s="16"/>
      <c r="N19" s="16">
        <f t="shared" si="8"/>
        <v>0</v>
      </c>
      <c r="O19" s="16"/>
      <c r="P19" s="16">
        <f t="shared" si="9"/>
        <v>0</v>
      </c>
      <c r="Q19" s="16"/>
      <c r="R19" s="16">
        <f t="shared" si="10"/>
        <v>0</v>
      </c>
      <c r="S19" s="16"/>
      <c r="T19" s="16">
        <f t="shared" si="11"/>
        <v>0</v>
      </c>
      <c r="U19" s="16"/>
      <c r="V19" s="16">
        <f t="shared" si="12"/>
        <v>0</v>
      </c>
      <c r="W19" s="16"/>
      <c r="X19" s="16"/>
      <c r="Y19" s="16"/>
      <c r="Z19" s="16">
        <f t="shared" si="13"/>
        <v>0</v>
      </c>
      <c r="AA19" s="16"/>
      <c r="AB19" s="16">
        <f t="shared" si="14"/>
        <v>0</v>
      </c>
      <c r="AC19" s="16"/>
      <c r="AD19" s="16">
        <f t="shared" si="15"/>
        <v>0</v>
      </c>
      <c r="AE19" s="16"/>
      <c r="AF19" s="16">
        <f t="shared" si="16"/>
        <v>0</v>
      </c>
      <c r="AG19" s="16"/>
      <c r="AH19" s="16">
        <f t="shared" si="17"/>
        <v>0</v>
      </c>
      <c r="AI19" s="16"/>
      <c r="AJ19" s="16">
        <f t="shared" si="18"/>
        <v>0</v>
      </c>
      <c r="AK19" s="16"/>
      <c r="AL19" s="16">
        <f t="shared" si="19"/>
        <v>0</v>
      </c>
      <c r="AM19" s="16"/>
      <c r="AN19" s="16">
        <f t="shared" si="2"/>
        <v>0</v>
      </c>
      <c r="AO19" s="16"/>
      <c r="AP19" s="16">
        <f t="shared" si="20"/>
        <v>0</v>
      </c>
      <c r="AQ19" s="16"/>
      <c r="AR19" s="16">
        <f t="shared" si="21"/>
        <v>0</v>
      </c>
      <c r="AS19" s="16"/>
      <c r="AT19" s="16">
        <f t="shared" si="22"/>
        <v>0</v>
      </c>
      <c r="AU19" s="16"/>
      <c r="AV19" s="16">
        <f t="shared" si="23"/>
        <v>0</v>
      </c>
      <c r="AW19" s="16"/>
      <c r="AX19" s="16">
        <f t="shared" si="3"/>
        <v>0</v>
      </c>
      <c r="AY19" s="16"/>
      <c r="AZ19" s="16">
        <f t="shared" si="24"/>
        <v>0</v>
      </c>
      <c r="BA19" s="16"/>
      <c r="BB19" s="16">
        <f t="shared" si="25"/>
        <v>0</v>
      </c>
      <c r="BC19" s="11">
        <f t="shared" si="4"/>
        <v>0</v>
      </c>
      <c r="BD19" s="17"/>
      <c r="BE19" s="17"/>
      <c r="BF19" s="17">
        <v>100</v>
      </c>
      <c r="BG19" s="16">
        <f t="shared" si="5"/>
        <v>2300000</v>
      </c>
      <c r="BH19" s="17"/>
      <c r="BI19" s="17"/>
    </row>
    <row r="20" spans="1:61" ht="12.75">
      <c r="A20" s="20">
        <v>35864</v>
      </c>
      <c r="B20" s="22" t="s">
        <v>13</v>
      </c>
      <c r="C20" s="21" t="s">
        <v>65</v>
      </c>
      <c r="D20" s="21" t="s">
        <v>911</v>
      </c>
      <c r="E20" s="17"/>
      <c r="F20" s="16">
        <f t="shared" si="0"/>
        <v>0</v>
      </c>
      <c r="G20" s="17"/>
      <c r="H20" s="16">
        <f t="shared" si="1"/>
        <v>0</v>
      </c>
      <c r="I20" s="16"/>
      <c r="J20" s="16">
        <f t="shared" si="6"/>
        <v>0</v>
      </c>
      <c r="K20" s="16"/>
      <c r="L20" s="16">
        <f t="shared" si="7"/>
        <v>0</v>
      </c>
      <c r="M20" s="16"/>
      <c r="N20" s="16">
        <f t="shared" si="8"/>
        <v>0</v>
      </c>
      <c r="O20" s="16"/>
      <c r="P20" s="16">
        <f t="shared" si="9"/>
        <v>0</v>
      </c>
      <c r="Q20" s="16"/>
      <c r="R20" s="16">
        <f t="shared" si="10"/>
        <v>0</v>
      </c>
      <c r="S20" s="16"/>
      <c r="T20" s="16">
        <f t="shared" si="11"/>
        <v>0</v>
      </c>
      <c r="U20" s="16"/>
      <c r="V20" s="16">
        <f t="shared" si="12"/>
        <v>0</v>
      </c>
      <c r="W20" s="16"/>
      <c r="X20" s="16"/>
      <c r="Y20" s="16"/>
      <c r="Z20" s="16">
        <f t="shared" si="13"/>
        <v>0</v>
      </c>
      <c r="AA20" s="16"/>
      <c r="AB20" s="16">
        <f t="shared" si="14"/>
        <v>0</v>
      </c>
      <c r="AC20" s="16"/>
      <c r="AD20" s="16">
        <f t="shared" si="15"/>
        <v>0</v>
      </c>
      <c r="AE20" s="16"/>
      <c r="AF20" s="16">
        <f t="shared" si="16"/>
        <v>0</v>
      </c>
      <c r="AG20" s="16"/>
      <c r="AH20" s="16">
        <f t="shared" si="17"/>
        <v>0</v>
      </c>
      <c r="AI20" s="16"/>
      <c r="AJ20" s="16">
        <f t="shared" si="18"/>
        <v>0</v>
      </c>
      <c r="AK20" s="16"/>
      <c r="AL20" s="16">
        <f t="shared" si="19"/>
        <v>0</v>
      </c>
      <c r="AM20" s="16"/>
      <c r="AN20" s="16">
        <f t="shared" si="2"/>
        <v>0</v>
      </c>
      <c r="AO20" s="16"/>
      <c r="AP20" s="16">
        <f t="shared" si="20"/>
        <v>0</v>
      </c>
      <c r="AQ20" s="16"/>
      <c r="AR20" s="16">
        <f t="shared" si="21"/>
        <v>0</v>
      </c>
      <c r="AS20" s="16"/>
      <c r="AT20" s="16">
        <f t="shared" si="22"/>
        <v>0</v>
      </c>
      <c r="AU20" s="16"/>
      <c r="AV20" s="16">
        <f t="shared" si="23"/>
        <v>0</v>
      </c>
      <c r="AW20" s="16"/>
      <c r="AX20" s="16">
        <f t="shared" si="3"/>
        <v>0</v>
      </c>
      <c r="AY20" s="16"/>
      <c r="AZ20" s="16">
        <f t="shared" si="24"/>
        <v>0</v>
      </c>
      <c r="BA20" s="16"/>
      <c r="BB20" s="16">
        <f t="shared" si="25"/>
        <v>0</v>
      </c>
      <c r="BC20" s="11">
        <f t="shared" si="4"/>
        <v>0</v>
      </c>
      <c r="BD20" s="17"/>
      <c r="BE20" s="17"/>
      <c r="BF20" s="17"/>
      <c r="BG20" s="16">
        <f t="shared" si="5"/>
        <v>0</v>
      </c>
      <c r="BH20" s="17">
        <v>600</v>
      </c>
      <c r="BI20" s="16">
        <v>4130064</v>
      </c>
    </row>
    <row r="21" spans="1:61" ht="12.75">
      <c r="A21" s="20">
        <v>35885</v>
      </c>
      <c r="B21" s="22" t="s">
        <v>877</v>
      </c>
      <c r="C21" s="21" t="s">
        <v>67</v>
      </c>
      <c r="D21" s="21" t="s">
        <v>911</v>
      </c>
      <c r="E21" s="17"/>
      <c r="F21" s="16">
        <f t="shared" si="0"/>
        <v>0</v>
      </c>
      <c r="G21" s="17"/>
      <c r="H21" s="16">
        <f t="shared" si="1"/>
        <v>0</v>
      </c>
      <c r="I21" s="16"/>
      <c r="J21" s="16">
        <f t="shared" si="6"/>
        <v>0</v>
      </c>
      <c r="K21" s="16"/>
      <c r="L21" s="16">
        <f t="shared" si="7"/>
        <v>0</v>
      </c>
      <c r="M21" s="16"/>
      <c r="N21" s="16">
        <f t="shared" si="8"/>
        <v>0</v>
      </c>
      <c r="O21" s="16"/>
      <c r="P21" s="16">
        <f t="shared" si="9"/>
        <v>0</v>
      </c>
      <c r="Q21" s="16"/>
      <c r="R21" s="16">
        <f t="shared" si="10"/>
        <v>0</v>
      </c>
      <c r="S21" s="16"/>
      <c r="T21" s="16">
        <f t="shared" si="11"/>
        <v>0</v>
      </c>
      <c r="U21" s="16"/>
      <c r="V21" s="16">
        <f t="shared" si="12"/>
        <v>0</v>
      </c>
      <c r="W21" s="16"/>
      <c r="X21" s="16"/>
      <c r="Y21" s="16"/>
      <c r="Z21" s="16">
        <f t="shared" si="13"/>
        <v>0</v>
      </c>
      <c r="AA21" s="16"/>
      <c r="AB21" s="16">
        <f t="shared" si="14"/>
        <v>0</v>
      </c>
      <c r="AC21" s="16"/>
      <c r="AD21" s="16">
        <f t="shared" si="15"/>
        <v>0</v>
      </c>
      <c r="AE21" s="16"/>
      <c r="AF21" s="16">
        <f t="shared" si="16"/>
        <v>0</v>
      </c>
      <c r="AG21" s="16"/>
      <c r="AH21" s="16">
        <f t="shared" si="17"/>
        <v>0</v>
      </c>
      <c r="AI21" s="16"/>
      <c r="AJ21" s="16">
        <f t="shared" si="18"/>
        <v>0</v>
      </c>
      <c r="AK21" s="16"/>
      <c r="AL21" s="16">
        <f t="shared" si="19"/>
        <v>0</v>
      </c>
      <c r="AM21" s="16"/>
      <c r="AN21" s="16">
        <f t="shared" si="2"/>
        <v>0</v>
      </c>
      <c r="AO21" s="16"/>
      <c r="AP21" s="16">
        <f t="shared" si="20"/>
        <v>0</v>
      </c>
      <c r="AQ21" s="16"/>
      <c r="AR21" s="16">
        <f t="shared" si="21"/>
        <v>0</v>
      </c>
      <c r="AS21" s="16"/>
      <c r="AT21" s="16">
        <f t="shared" si="22"/>
        <v>0</v>
      </c>
      <c r="AU21" s="16"/>
      <c r="AV21" s="16">
        <f t="shared" si="23"/>
        <v>0</v>
      </c>
      <c r="AW21" s="16"/>
      <c r="AX21" s="16">
        <f t="shared" si="3"/>
        <v>0</v>
      </c>
      <c r="AY21" s="16"/>
      <c r="AZ21" s="16">
        <f t="shared" si="24"/>
        <v>0</v>
      </c>
      <c r="BA21" s="16"/>
      <c r="BB21" s="16">
        <f t="shared" si="25"/>
        <v>0</v>
      </c>
      <c r="BC21" s="11">
        <f t="shared" si="4"/>
        <v>0</v>
      </c>
      <c r="BD21" s="17"/>
      <c r="BE21" s="17"/>
      <c r="BF21" s="17">
        <v>500</v>
      </c>
      <c r="BG21" s="16">
        <f t="shared" si="5"/>
        <v>11500000</v>
      </c>
      <c r="BH21" s="17"/>
      <c r="BI21" s="17"/>
    </row>
    <row r="22" spans="1:61" ht="12.75">
      <c r="A22" s="20">
        <v>35884</v>
      </c>
      <c r="B22" s="22" t="s">
        <v>877</v>
      </c>
      <c r="C22" s="21" t="s">
        <v>68</v>
      </c>
      <c r="D22" s="21" t="s">
        <v>884</v>
      </c>
      <c r="E22" s="17"/>
      <c r="F22" s="16">
        <f t="shared" si="0"/>
        <v>0</v>
      </c>
      <c r="G22" s="17"/>
      <c r="H22" s="16">
        <f t="shared" si="1"/>
        <v>0</v>
      </c>
      <c r="I22" s="16"/>
      <c r="J22" s="16">
        <f t="shared" si="6"/>
        <v>0</v>
      </c>
      <c r="K22" s="16"/>
      <c r="L22" s="16">
        <f t="shared" si="7"/>
        <v>0</v>
      </c>
      <c r="M22" s="16"/>
      <c r="N22" s="16">
        <f t="shared" si="8"/>
        <v>0</v>
      </c>
      <c r="O22" s="16"/>
      <c r="P22" s="16">
        <f t="shared" si="9"/>
        <v>0</v>
      </c>
      <c r="Q22" s="16"/>
      <c r="R22" s="16">
        <f t="shared" si="10"/>
        <v>0</v>
      </c>
      <c r="S22" s="16"/>
      <c r="T22" s="16">
        <f t="shared" si="11"/>
        <v>0</v>
      </c>
      <c r="U22" s="16"/>
      <c r="V22" s="16">
        <f t="shared" si="12"/>
        <v>0</v>
      </c>
      <c r="W22" s="16"/>
      <c r="X22" s="16"/>
      <c r="Y22" s="16"/>
      <c r="Z22" s="16">
        <f t="shared" si="13"/>
        <v>0</v>
      </c>
      <c r="AA22" s="16"/>
      <c r="AB22" s="16">
        <f t="shared" si="14"/>
        <v>0</v>
      </c>
      <c r="AC22" s="16"/>
      <c r="AD22" s="16">
        <f t="shared" si="15"/>
        <v>0</v>
      </c>
      <c r="AE22" s="16"/>
      <c r="AF22" s="16">
        <f t="shared" si="16"/>
        <v>0</v>
      </c>
      <c r="AG22" s="16"/>
      <c r="AH22" s="16">
        <f t="shared" si="17"/>
        <v>0</v>
      </c>
      <c r="AI22" s="16"/>
      <c r="AJ22" s="16">
        <f t="shared" si="18"/>
        <v>0</v>
      </c>
      <c r="AK22" s="16"/>
      <c r="AL22" s="16">
        <f t="shared" si="19"/>
        <v>0</v>
      </c>
      <c r="AM22" s="16"/>
      <c r="AN22" s="16">
        <f t="shared" si="2"/>
        <v>0</v>
      </c>
      <c r="AO22" s="16"/>
      <c r="AP22" s="16">
        <f t="shared" si="20"/>
        <v>0</v>
      </c>
      <c r="AQ22" s="16"/>
      <c r="AR22" s="16">
        <f t="shared" si="21"/>
        <v>0</v>
      </c>
      <c r="AS22" s="16"/>
      <c r="AT22" s="16">
        <f t="shared" si="22"/>
        <v>0</v>
      </c>
      <c r="AU22" s="16"/>
      <c r="AV22" s="16">
        <f t="shared" si="23"/>
        <v>0</v>
      </c>
      <c r="AW22" s="16"/>
      <c r="AX22" s="16">
        <f t="shared" si="3"/>
        <v>0</v>
      </c>
      <c r="AY22" s="16"/>
      <c r="AZ22" s="16">
        <f t="shared" si="24"/>
        <v>0</v>
      </c>
      <c r="BA22" s="16"/>
      <c r="BB22" s="16">
        <f t="shared" si="25"/>
        <v>0</v>
      </c>
      <c r="BC22" s="11">
        <f t="shared" si="4"/>
        <v>0</v>
      </c>
      <c r="BD22" s="17"/>
      <c r="BE22" s="17"/>
      <c r="BF22" s="17">
        <v>200</v>
      </c>
      <c r="BG22" s="16">
        <f t="shared" si="5"/>
        <v>4600000</v>
      </c>
      <c r="BH22" s="17"/>
      <c r="BI22" s="17"/>
    </row>
    <row r="23" spans="1:61" ht="12.75">
      <c r="A23" s="20">
        <v>35880</v>
      </c>
      <c r="B23" s="22" t="s">
        <v>22</v>
      </c>
      <c r="C23" s="21" t="s">
        <v>31</v>
      </c>
      <c r="D23" s="21" t="s">
        <v>911</v>
      </c>
      <c r="E23" s="17">
        <v>100</v>
      </c>
      <c r="F23" s="16">
        <f t="shared" si="0"/>
        <v>34800</v>
      </c>
      <c r="G23" s="17">
        <v>100</v>
      </c>
      <c r="H23" s="16">
        <f t="shared" si="1"/>
        <v>29580</v>
      </c>
      <c r="I23" s="16"/>
      <c r="J23" s="16">
        <f t="shared" si="6"/>
        <v>0</v>
      </c>
      <c r="K23" s="16"/>
      <c r="L23" s="16">
        <f t="shared" si="7"/>
        <v>0</v>
      </c>
      <c r="M23" s="16"/>
      <c r="N23" s="16">
        <f t="shared" si="8"/>
        <v>0</v>
      </c>
      <c r="O23" s="16"/>
      <c r="P23" s="16">
        <f t="shared" si="9"/>
        <v>0</v>
      </c>
      <c r="Q23" s="16"/>
      <c r="R23" s="16">
        <f t="shared" si="10"/>
        <v>0</v>
      </c>
      <c r="S23" s="16">
        <v>100</v>
      </c>
      <c r="T23" s="16">
        <f t="shared" si="11"/>
        <v>188500</v>
      </c>
      <c r="U23" s="16">
        <v>100</v>
      </c>
      <c r="V23" s="16">
        <f t="shared" si="12"/>
        <v>58064</v>
      </c>
      <c r="W23" s="16"/>
      <c r="X23" s="16"/>
      <c r="Y23" s="16"/>
      <c r="Z23" s="16">
        <f t="shared" si="13"/>
        <v>0</v>
      </c>
      <c r="AA23" s="16"/>
      <c r="AB23" s="16">
        <f t="shared" si="14"/>
        <v>0</v>
      </c>
      <c r="AC23" s="16">
        <v>100</v>
      </c>
      <c r="AD23" s="16">
        <f t="shared" si="15"/>
        <v>62640</v>
      </c>
      <c r="AE23" s="16"/>
      <c r="AF23" s="16">
        <f t="shared" si="16"/>
        <v>0</v>
      </c>
      <c r="AG23" s="16"/>
      <c r="AH23" s="16">
        <f t="shared" si="17"/>
        <v>0</v>
      </c>
      <c r="AI23" s="16">
        <v>100</v>
      </c>
      <c r="AJ23" s="16">
        <f t="shared" si="18"/>
        <v>46400</v>
      </c>
      <c r="AK23" s="16"/>
      <c r="AL23" s="16">
        <f t="shared" si="19"/>
        <v>0</v>
      </c>
      <c r="AM23" s="16"/>
      <c r="AN23" s="16">
        <f t="shared" si="2"/>
        <v>0</v>
      </c>
      <c r="AO23" s="16">
        <v>100</v>
      </c>
      <c r="AP23" s="16">
        <f t="shared" si="20"/>
        <v>27260.000000000004</v>
      </c>
      <c r="AQ23" s="16">
        <v>100</v>
      </c>
      <c r="AR23" s="16">
        <f t="shared" si="21"/>
        <v>32480</v>
      </c>
      <c r="AS23" s="16">
        <v>100</v>
      </c>
      <c r="AT23" s="16">
        <f t="shared" si="22"/>
        <v>32380</v>
      </c>
      <c r="AU23" s="16">
        <v>100</v>
      </c>
      <c r="AV23" s="16">
        <f t="shared" si="23"/>
        <v>646576</v>
      </c>
      <c r="AW23" s="16"/>
      <c r="AX23" s="16">
        <f t="shared" si="3"/>
        <v>0</v>
      </c>
      <c r="AY23" s="16">
        <v>100</v>
      </c>
      <c r="AZ23" s="16">
        <f t="shared" si="24"/>
        <v>322953</v>
      </c>
      <c r="BA23" s="16"/>
      <c r="BB23" s="16">
        <f t="shared" si="25"/>
        <v>0</v>
      </c>
      <c r="BC23" s="11">
        <f t="shared" si="4"/>
        <v>1481633</v>
      </c>
      <c r="BD23" s="17"/>
      <c r="BE23" s="17"/>
      <c r="BF23" s="17">
        <v>48</v>
      </c>
      <c r="BG23" s="16">
        <f t="shared" si="5"/>
        <v>1104000</v>
      </c>
      <c r="BH23" s="17"/>
      <c r="BI23" s="17"/>
    </row>
    <row r="24" spans="1:61" ht="12.75">
      <c r="A24" s="20">
        <v>35856</v>
      </c>
      <c r="B24" s="22" t="s">
        <v>77</v>
      </c>
      <c r="C24" s="21" t="s">
        <v>78</v>
      </c>
      <c r="D24" s="21" t="s">
        <v>911</v>
      </c>
      <c r="E24" s="17"/>
      <c r="F24" s="16">
        <f t="shared" si="0"/>
        <v>0</v>
      </c>
      <c r="G24" s="17"/>
      <c r="H24" s="16">
        <f t="shared" si="1"/>
        <v>0</v>
      </c>
      <c r="I24" s="16"/>
      <c r="J24" s="16">
        <f t="shared" si="6"/>
        <v>0</v>
      </c>
      <c r="K24" s="16"/>
      <c r="L24" s="16">
        <f t="shared" si="7"/>
        <v>0</v>
      </c>
      <c r="M24" s="16"/>
      <c r="N24" s="16">
        <f t="shared" si="8"/>
        <v>0</v>
      </c>
      <c r="O24" s="16"/>
      <c r="P24" s="16">
        <f t="shared" si="9"/>
        <v>0</v>
      </c>
      <c r="Q24" s="16"/>
      <c r="R24" s="16">
        <f t="shared" si="10"/>
        <v>0</v>
      </c>
      <c r="S24" s="16"/>
      <c r="T24" s="16">
        <f t="shared" si="11"/>
        <v>0</v>
      </c>
      <c r="U24" s="16"/>
      <c r="V24" s="16">
        <f t="shared" si="12"/>
        <v>0</v>
      </c>
      <c r="W24" s="16"/>
      <c r="X24" s="16"/>
      <c r="Y24" s="16"/>
      <c r="Z24" s="16">
        <f t="shared" si="13"/>
        <v>0</v>
      </c>
      <c r="AA24" s="16"/>
      <c r="AB24" s="16">
        <f t="shared" si="14"/>
        <v>0</v>
      </c>
      <c r="AC24" s="16"/>
      <c r="AD24" s="16">
        <f t="shared" si="15"/>
        <v>0</v>
      </c>
      <c r="AE24" s="16"/>
      <c r="AF24" s="16">
        <f t="shared" si="16"/>
        <v>0</v>
      </c>
      <c r="AG24" s="16"/>
      <c r="AH24" s="16">
        <f t="shared" si="17"/>
        <v>0</v>
      </c>
      <c r="AI24" s="16"/>
      <c r="AJ24" s="16">
        <f t="shared" si="18"/>
        <v>0</v>
      </c>
      <c r="AK24" s="16"/>
      <c r="AL24" s="16">
        <f t="shared" si="19"/>
        <v>0</v>
      </c>
      <c r="AM24" s="16"/>
      <c r="AN24" s="16">
        <f t="shared" si="2"/>
        <v>0</v>
      </c>
      <c r="AO24" s="16"/>
      <c r="AP24" s="16">
        <f t="shared" si="20"/>
        <v>0</v>
      </c>
      <c r="AQ24" s="16"/>
      <c r="AR24" s="16">
        <f t="shared" si="21"/>
        <v>0</v>
      </c>
      <c r="AS24" s="16"/>
      <c r="AT24" s="16">
        <f t="shared" si="22"/>
        <v>0</v>
      </c>
      <c r="AU24" s="16"/>
      <c r="AV24" s="16">
        <f t="shared" si="23"/>
        <v>0</v>
      </c>
      <c r="AW24" s="16"/>
      <c r="AX24" s="16">
        <f t="shared" si="3"/>
        <v>0</v>
      </c>
      <c r="AY24" s="16"/>
      <c r="AZ24" s="16">
        <f t="shared" si="24"/>
        <v>0</v>
      </c>
      <c r="BA24" s="16"/>
      <c r="BB24" s="16">
        <f t="shared" si="25"/>
        <v>0</v>
      </c>
      <c r="BC24" s="11">
        <f t="shared" si="4"/>
        <v>0</v>
      </c>
      <c r="BD24" s="17"/>
      <c r="BE24" s="17"/>
      <c r="BF24" s="17">
        <v>500</v>
      </c>
      <c r="BG24" s="16">
        <f t="shared" si="5"/>
        <v>11500000</v>
      </c>
      <c r="BH24" s="17">
        <v>1000</v>
      </c>
      <c r="BI24" s="16">
        <v>6883440</v>
      </c>
    </row>
    <row r="25" spans="1:61" ht="12.75">
      <c r="A25" s="20">
        <v>35863</v>
      </c>
      <c r="B25" s="22" t="s">
        <v>39</v>
      </c>
      <c r="C25" s="21" t="s">
        <v>80</v>
      </c>
      <c r="D25" s="21" t="s">
        <v>911</v>
      </c>
      <c r="E25" s="17"/>
      <c r="F25" s="16">
        <f t="shared" si="0"/>
        <v>0</v>
      </c>
      <c r="G25" s="17"/>
      <c r="H25" s="16">
        <f t="shared" si="1"/>
        <v>0</v>
      </c>
      <c r="I25" s="16"/>
      <c r="J25" s="16">
        <f t="shared" si="6"/>
        <v>0</v>
      </c>
      <c r="K25" s="16"/>
      <c r="L25" s="16">
        <f t="shared" si="7"/>
        <v>0</v>
      </c>
      <c r="M25" s="16"/>
      <c r="N25" s="16">
        <f t="shared" si="8"/>
        <v>0</v>
      </c>
      <c r="O25" s="16"/>
      <c r="P25" s="16">
        <f t="shared" si="9"/>
        <v>0</v>
      </c>
      <c r="Q25" s="16"/>
      <c r="R25" s="16">
        <f t="shared" si="10"/>
        <v>0</v>
      </c>
      <c r="S25" s="16"/>
      <c r="T25" s="16">
        <f t="shared" si="11"/>
        <v>0</v>
      </c>
      <c r="U25" s="16"/>
      <c r="V25" s="16">
        <f t="shared" si="12"/>
        <v>0</v>
      </c>
      <c r="W25" s="16"/>
      <c r="X25" s="16"/>
      <c r="Y25" s="16"/>
      <c r="Z25" s="16">
        <f t="shared" si="13"/>
        <v>0</v>
      </c>
      <c r="AA25" s="16"/>
      <c r="AB25" s="16">
        <f t="shared" si="14"/>
        <v>0</v>
      </c>
      <c r="AC25" s="16"/>
      <c r="AD25" s="16">
        <f t="shared" si="15"/>
        <v>0</v>
      </c>
      <c r="AE25" s="16"/>
      <c r="AF25" s="16">
        <f t="shared" si="16"/>
        <v>0</v>
      </c>
      <c r="AG25" s="16"/>
      <c r="AH25" s="16">
        <f t="shared" si="17"/>
        <v>0</v>
      </c>
      <c r="AI25" s="16"/>
      <c r="AJ25" s="16">
        <f t="shared" si="18"/>
        <v>0</v>
      </c>
      <c r="AK25" s="16"/>
      <c r="AL25" s="16">
        <f t="shared" si="19"/>
        <v>0</v>
      </c>
      <c r="AM25" s="16"/>
      <c r="AN25" s="16">
        <f t="shared" si="2"/>
        <v>0</v>
      </c>
      <c r="AO25" s="16"/>
      <c r="AP25" s="16">
        <f t="shared" si="20"/>
        <v>0</v>
      </c>
      <c r="AQ25" s="16"/>
      <c r="AR25" s="16">
        <f t="shared" si="21"/>
        <v>0</v>
      </c>
      <c r="AS25" s="16"/>
      <c r="AT25" s="16">
        <f t="shared" si="22"/>
        <v>0</v>
      </c>
      <c r="AU25" s="16"/>
      <c r="AV25" s="16">
        <f t="shared" si="23"/>
        <v>0</v>
      </c>
      <c r="AW25" s="16"/>
      <c r="AX25" s="16">
        <f t="shared" si="3"/>
        <v>0</v>
      </c>
      <c r="AY25" s="16"/>
      <c r="AZ25" s="16">
        <f t="shared" si="24"/>
        <v>0</v>
      </c>
      <c r="BA25" s="16"/>
      <c r="BB25" s="16">
        <f t="shared" si="25"/>
        <v>0</v>
      </c>
      <c r="BC25" s="11">
        <f t="shared" si="4"/>
        <v>0</v>
      </c>
      <c r="BD25" s="17"/>
      <c r="BE25" s="17"/>
      <c r="BF25" s="17"/>
      <c r="BG25" s="16">
        <f t="shared" si="5"/>
        <v>0</v>
      </c>
      <c r="BH25" s="17">
        <v>350</v>
      </c>
      <c r="BI25" s="17">
        <f>100*17030*1.16+200*13122*1.16+50*8520*1.16+80*8924*1.16</f>
        <v>6342091.2</v>
      </c>
    </row>
    <row r="26" spans="1:61" ht="22.5">
      <c r="A26" s="20">
        <v>35865</v>
      </c>
      <c r="B26" s="22" t="s">
        <v>882</v>
      </c>
      <c r="C26" s="21" t="s">
        <v>81</v>
      </c>
      <c r="D26" s="21" t="s">
        <v>82</v>
      </c>
      <c r="E26" s="17"/>
      <c r="F26" s="16">
        <f t="shared" si="0"/>
        <v>0</v>
      </c>
      <c r="G26" s="17"/>
      <c r="H26" s="16">
        <f t="shared" si="1"/>
        <v>0</v>
      </c>
      <c r="I26" s="16"/>
      <c r="J26" s="16">
        <f t="shared" si="6"/>
        <v>0</v>
      </c>
      <c r="K26" s="16"/>
      <c r="L26" s="16">
        <f t="shared" si="7"/>
        <v>0</v>
      </c>
      <c r="M26" s="16"/>
      <c r="N26" s="16">
        <f t="shared" si="8"/>
        <v>0</v>
      </c>
      <c r="O26" s="16"/>
      <c r="P26" s="16">
        <f t="shared" si="9"/>
        <v>0</v>
      </c>
      <c r="Q26" s="16"/>
      <c r="R26" s="16">
        <f t="shared" si="10"/>
        <v>0</v>
      </c>
      <c r="S26" s="16"/>
      <c r="T26" s="16">
        <f t="shared" si="11"/>
        <v>0</v>
      </c>
      <c r="U26" s="16"/>
      <c r="V26" s="16">
        <f t="shared" si="12"/>
        <v>0</v>
      </c>
      <c r="W26" s="16"/>
      <c r="X26" s="16"/>
      <c r="Y26" s="16"/>
      <c r="Z26" s="16">
        <f t="shared" si="13"/>
        <v>0</v>
      </c>
      <c r="AA26" s="16"/>
      <c r="AB26" s="16">
        <f t="shared" si="14"/>
        <v>0</v>
      </c>
      <c r="AC26" s="16"/>
      <c r="AD26" s="16">
        <f t="shared" si="15"/>
        <v>0</v>
      </c>
      <c r="AE26" s="16"/>
      <c r="AF26" s="16">
        <f t="shared" si="16"/>
        <v>0</v>
      </c>
      <c r="AG26" s="16"/>
      <c r="AH26" s="16">
        <f t="shared" si="17"/>
        <v>0</v>
      </c>
      <c r="AI26" s="16"/>
      <c r="AJ26" s="16">
        <f t="shared" si="18"/>
        <v>0</v>
      </c>
      <c r="AK26" s="16"/>
      <c r="AL26" s="16">
        <f t="shared" si="19"/>
        <v>0</v>
      </c>
      <c r="AM26" s="16"/>
      <c r="AN26" s="16">
        <f t="shared" si="2"/>
        <v>0</v>
      </c>
      <c r="AO26" s="16"/>
      <c r="AP26" s="16">
        <f t="shared" si="20"/>
        <v>0</v>
      </c>
      <c r="AQ26" s="16"/>
      <c r="AR26" s="16">
        <f t="shared" si="21"/>
        <v>0</v>
      </c>
      <c r="AS26" s="16"/>
      <c r="AT26" s="16">
        <f t="shared" si="22"/>
        <v>0</v>
      </c>
      <c r="AU26" s="16"/>
      <c r="AV26" s="16">
        <f t="shared" si="23"/>
        <v>0</v>
      </c>
      <c r="AW26" s="16"/>
      <c r="AX26" s="16">
        <f t="shared" si="3"/>
        <v>0</v>
      </c>
      <c r="AY26" s="16"/>
      <c r="AZ26" s="16">
        <f t="shared" si="24"/>
        <v>0</v>
      </c>
      <c r="BA26" s="16"/>
      <c r="BB26" s="16">
        <f t="shared" si="25"/>
        <v>0</v>
      </c>
      <c r="BC26" s="11">
        <f t="shared" si="4"/>
        <v>0</v>
      </c>
      <c r="BD26" s="17"/>
      <c r="BE26" s="17"/>
      <c r="BF26" s="17">
        <v>1500</v>
      </c>
      <c r="BG26" s="16">
        <f t="shared" si="5"/>
        <v>34500000</v>
      </c>
      <c r="BH26" s="17"/>
      <c r="BI26" s="17"/>
    </row>
    <row r="27" spans="1:61" ht="12.75">
      <c r="A27" s="20">
        <v>35874</v>
      </c>
      <c r="B27" s="22" t="s">
        <v>889</v>
      </c>
      <c r="C27" s="21" t="s">
        <v>85</v>
      </c>
      <c r="D27" s="21" t="s">
        <v>25</v>
      </c>
      <c r="E27" s="17"/>
      <c r="F27" s="16">
        <f t="shared" si="0"/>
        <v>0</v>
      </c>
      <c r="G27" s="17"/>
      <c r="H27" s="16">
        <f t="shared" si="1"/>
        <v>0</v>
      </c>
      <c r="I27" s="16"/>
      <c r="J27" s="16">
        <f t="shared" si="6"/>
        <v>0</v>
      </c>
      <c r="K27" s="16"/>
      <c r="L27" s="16">
        <f t="shared" si="7"/>
        <v>0</v>
      </c>
      <c r="M27" s="16"/>
      <c r="N27" s="16">
        <f t="shared" si="8"/>
        <v>0</v>
      </c>
      <c r="O27" s="16"/>
      <c r="P27" s="16">
        <f t="shared" si="9"/>
        <v>0</v>
      </c>
      <c r="Q27" s="16"/>
      <c r="R27" s="16">
        <f t="shared" si="10"/>
        <v>0</v>
      </c>
      <c r="S27" s="16"/>
      <c r="T27" s="16">
        <f t="shared" si="11"/>
        <v>0</v>
      </c>
      <c r="U27" s="16"/>
      <c r="V27" s="16">
        <f t="shared" si="12"/>
        <v>0</v>
      </c>
      <c r="W27" s="16"/>
      <c r="X27" s="16"/>
      <c r="Y27" s="16"/>
      <c r="Z27" s="16">
        <f t="shared" si="13"/>
        <v>0</v>
      </c>
      <c r="AA27" s="16"/>
      <c r="AB27" s="16">
        <f t="shared" si="14"/>
        <v>0</v>
      </c>
      <c r="AC27" s="16"/>
      <c r="AD27" s="16">
        <f t="shared" si="15"/>
        <v>0</v>
      </c>
      <c r="AE27" s="16"/>
      <c r="AF27" s="16">
        <f t="shared" si="16"/>
        <v>0</v>
      </c>
      <c r="AG27" s="16"/>
      <c r="AH27" s="16">
        <f t="shared" si="17"/>
        <v>0</v>
      </c>
      <c r="AI27" s="16"/>
      <c r="AJ27" s="16">
        <f t="shared" si="18"/>
        <v>0</v>
      </c>
      <c r="AK27" s="16"/>
      <c r="AL27" s="16">
        <f t="shared" si="19"/>
        <v>0</v>
      </c>
      <c r="AM27" s="16">
        <v>10</v>
      </c>
      <c r="AN27" s="16">
        <f t="shared" si="2"/>
        <v>2550173.1</v>
      </c>
      <c r="AO27" s="16"/>
      <c r="AP27" s="16">
        <f t="shared" si="20"/>
        <v>0</v>
      </c>
      <c r="AQ27" s="16"/>
      <c r="AR27" s="16">
        <f t="shared" si="21"/>
        <v>0</v>
      </c>
      <c r="AS27" s="16"/>
      <c r="AT27" s="16">
        <f t="shared" si="22"/>
        <v>0</v>
      </c>
      <c r="AU27" s="16"/>
      <c r="AV27" s="16">
        <f t="shared" si="23"/>
        <v>0</v>
      </c>
      <c r="AW27" s="16"/>
      <c r="AX27" s="16">
        <f t="shared" si="3"/>
        <v>0</v>
      </c>
      <c r="AY27" s="16"/>
      <c r="AZ27" s="16">
        <f t="shared" si="24"/>
        <v>0</v>
      </c>
      <c r="BA27" s="16"/>
      <c r="BB27" s="16">
        <f t="shared" si="25"/>
        <v>0</v>
      </c>
      <c r="BC27" s="11">
        <f t="shared" si="4"/>
        <v>2550173.1</v>
      </c>
      <c r="BD27" s="17"/>
      <c r="BE27" s="17"/>
      <c r="BF27" s="17"/>
      <c r="BG27" s="16">
        <f t="shared" si="5"/>
        <v>0</v>
      </c>
      <c r="BH27" s="17">
        <v>700</v>
      </c>
      <c r="BI27" s="16">
        <v>4818408</v>
      </c>
    </row>
    <row r="28" spans="1:61" ht="12.75">
      <c r="A28" s="38">
        <v>35856</v>
      </c>
      <c r="B28" s="39" t="s">
        <v>92</v>
      </c>
      <c r="C28" s="40" t="s">
        <v>93</v>
      </c>
      <c r="D28" s="40" t="s">
        <v>821</v>
      </c>
      <c r="E28" s="17"/>
      <c r="F28" s="16">
        <f t="shared" si="0"/>
        <v>0</v>
      </c>
      <c r="G28" s="17"/>
      <c r="H28" s="16">
        <f t="shared" si="1"/>
        <v>0</v>
      </c>
      <c r="I28" s="16"/>
      <c r="J28" s="16">
        <f t="shared" si="6"/>
        <v>0</v>
      </c>
      <c r="K28" s="16"/>
      <c r="L28" s="16">
        <f t="shared" si="7"/>
        <v>0</v>
      </c>
      <c r="M28" s="16"/>
      <c r="N28" s="16">
        <f t="shared" si="8"/>
        <v>0</v>
      </c>
      <c r="O28" s="16"/>
      <c r="P28" s="16">
        <f t="shared" si="9"/>
        <v>0</v>
      </c>
      <c r="Q28" s="16"/>
      <c r="R28" s="16">
        <f t="shared" si="10"/>
        <v>0</v>
      </c>
      <c r="S28" s="16"/>
      <c r="T28" s="16">
        <f t="shared" si="11"/>
        <v>0</v>
      </c>
      <c r="U28" s="16"/>
      <c r="V28" s="16">
        <f t="shared" si="12"/>
        <v>0</v>
      </c>
      <c r="W28" s="16"/>
      <c r="X28" s="16"/>
      <c r="Y28" s="16"/>
      <c r="Z28" s="16">
        <f t="shared" si="13"/>
        <v>0</v>
      </c>
      <c r="AA28" s="16"/>
      <c r="AB28" s="16">
        <f t="shared" si="14"/>
        <v>0</v>
      </c>
      <c r="AC28" s="16"/>
      <c r="AD28" s="16">
        <f t="shared" si="15"/>
        <v>0</v>
      </c>
      <c r="AE28" s="16"/>
      <c r="AF28" s="16">
        <f t="shared" si="16"/>
        <v>0</v>
      </c>
      <c r="AG28" s="16"/>
      <c r="AH28" s="16">
        <f t="shared" si="17"/>
        <v>0</v>
      </c>
      <c r="AI28" s="16"/>
      <c r="AJ28" s="16">
        <f t="shared" si="18"/>
        <v>0</v>
      </c>
      <c r="AK28" s="16"/>
      <c r="AL28" s="16">
        <f t="shared" si="19"/>
        <v>0</v>
      </c>
      <c r="AM28" s="16"/>
      <c r="AN28" s="16">
        <f t="shared" si="2"/>
        <v>0</v>
      </c>
      <c r="AO28" s="16"/>
      <c r="AP28" s="16">
        <f t="shared" si="20"/>
        <v>0</v>
      </c>
      <c r="AQ28" s="16"/>
      <c r="AR28" s="16">
        <f t="shared" si="21"/>
        <v>0</v>
      </c>
      <c r="AS28" s="16"/>
      <c r="AT28" s="16">
        <f t="shared" si="22"/>
        <v>0</v>
      </c>
      <c r="AU28" s="16"/>
      <c r="AV28" s="16">
        <f t="shared" si="23"/>
        <v>0</v>
      </c>
      <c r="AW28" s="16"/>
      <c r="AX28" s="16">
        <f t="shared" si="3"/>
        <v>0</v>
      </c>
      <c r="AY28" s="16"/>
      <c r="AZ28" s="16">
        <f t="shared" si="24"/>
        <v>0</v>
      </c>
      <c r="BA28" s="16"/>
      <c r="BB28" s="16">
        <f t="shared" si="25"/>
        <v>0</v>
      </c>
      <c r="BC28" s="11">
        <f t="shared" si="4"/>
        <v>0</v>
      </c>
      <c r="BD28" s="17"/>
      <c r="BE28" s="17"/>
      <c r="BF28" s="17">
        <v>132</v>
      </c>
      <c r="BG28" s="16">
        <f t="shared" si="5"/>
        <v>3036000</v>
      </c>
      <c r="BH28" s="17"/>
      <c r="BI28" s="17"/>
    </row>
    <row r="29" spans="1:61" ht="12.75">
      <c r="A29" s="38">
        <v>35874</v>
      </c>
      <c r="B29" s="39" t="s">
        <v>41</v>
      </c>
      <c r="C29" s="40" t="s">
        <v>96</v>
      </c>
      <c r="D29" s="40" t="s">
        <v>911</v>
      </c>
      <c r="E29" s="17"/>
      <c r="F29" s="16">
        <f t="shared" si="0"/>
        <v>0</v>
      </c>
      <c r="G29" s="17"/>
      <c r="H29" s="16">
        <f t="shared" si="1"/>
        <v>0</v>
      </c>
      <c r="I29" s="16"/>
      <c r="J29" s="16">
        <f t="shared" si="6"/>
        <v>0</v>
      </c>
      <c r="K29" s="16"/>
      <c r="L29" s="16">
        <f t="shared" si="7"/>
        <v>0</v>
      </c>
      <c r="M29" s="16">
        <v>180</v>
      </c>
      <c r="N29" s="16">
        <f t="shared" si="8"/>
        <v>447335.99999999994</v>
      </c>
      <c r="O29" s="16"/>
      <c r="P29" s="16">
        <f t="shared" si="9"/>
        <v>0</v>
      </c>
      <c r="Q29" s="16">
        <v>230</v>
      </c>
      <c r="R29" s="16">
        <f t="shared" si="10"/>
        <v>6269800</v>
      </c>
      <c r="S29" s="16"/>
      <c r="T29" s="16">
        <f t="shared" si="11"/>
        <v>0</v>
      </c>
      <c r="U29" s="16"/>
      <c r="V29" s="16">
        <f t="shared" si="12"/>
        <v>0</v>
      </c>
      <c r="W29" s="16"/>
      <c r="X29" s="16"/>
      <c r="Y29" s="16"/>
      <c r="Z29" s="16">
        <f t="shared" si="13"/>
        <v>0</v>
      </c>
      <c r="AA29" s="16"/>
      <c r="AB29" s="16">
        <f t="shared" si="14"/>
        <v>0</v>
      </c>
      <c r="AC29" s="16"/>
      <c r="AD29" s="16">
        <f t="shared" si="15"/>
        <v>0</v>
      </c>
      <c r="AE29" s="16"/>
      <c r="AF29" s="16">
        <f t="shared" si="16"/>
        <v>0</v>
      </c>
      <c r="AG29" s="16"/>
      <c r="AH29" s="16">
        <f t="shared" si="17"/>
        <v>0</v>
      </c>
      <c r="AI29" s="16"/>
      <c r="AJ29" s="16">
        <f t="shared" si="18"/>
        <v>0</v>
      </c>
      <c r="AK29" s="16"/>
      <c r="AL29" s="16">
        <f t="shared" si="19"/>
        <v>0</v>
      </c>
      <c r="AM29" s="16"/>
      <c r="AN29" s="16">
        <f t="shared" si="2"/>
        <v>0</v>
      </c>
      <c r="AO29" s="16"/>
      <c r="AP29" s="16">
        <f t="shared" si="20"/>
        <v>0</v>
      </c>
      <c r="AQ29" s="16"/>
      <c r="AR29" s="16">
        <f t="shared" si="21"/>
        <v>0</v>
      </c>
      <c r="AS29" s="16"/>
      <c r="AT29" s="16">
        <f t="shared" si="22"/>
        <v>0</v>
      </c>
      <c r="AU29" s="16">
        <v>230</v>
      </c>
      <c r="AV29" s="16">
        <f t="shared" si="23"/>
        <v>1487124.8</v>
      </c>
      <c r="AW29" s="16">
        <v>230</v>
      </c>
      <c r="AX29" s="16">
        <f t="shared" si="3"/>
        <v>1458689.9000000001</v>
      </c>
      <c r="AY29" s="16"/>
      <c r="AZ29" s="16">
        <f t="shared" si="24"/>
        <v>0</v>
      </c>
      <c r="BA29" s="16"/>
      <c r="BB29" s="16">
        <f t="shared" si="25"/>
        <v>0</v>
      </c>
      <c r="BC29" s="11">
        <f t="shared" si="4"/>
        <v>9662950.7</v>
      </c>
      <c r="BD29" s="17"/>
      <c r="BE29" s="17"/>
      <c r="BF29" s="17"/>
      <c r="BG29" s="16">
        <f t="shared" si="5"/>
        <v>0</v>
      </c>
      <c r="BH29" s="17"/>
      <c r="BI29" s="17"/>
    </row>
    <row r="30" spans="1:61" ht="12.75">
      <c r="A30" s="38">
        <v>35865</v>
      </c>
      <c r="B30" s="39" t="s">
        <v>904</v>
      </c>
      <c r="C30" s="40" t="s">
        <v>875</v>
      </c>
      <c r="D30" s="40" t="s">
        <v>884</v>
      </c>
      <c r="E30" s="17"/>
      <c r="F30" s="16">
        <f t="shared" si="0"/>
        <v>0</v>
      </c>
      <c r="G30" s="17"/>
      <c r="H30" s="16">
        <f t="shared" si="1"/>
        <v>0</v>
      </c>
      <c r="I30" s="16"/>
      <c r="J30" s="16">
        <f t="shared" si="6"/>
        <v>0</v>
      </c>
      <c r="K30" s="16"/>
      <c r="L30" s="16">
        <f t="shared" si="7"/>
        <v>0</v>
      </c>
      <c r="M30" s="16"/>
      <c r="N30" s="16">
        <f t="shared" si="8"/>
        <v>0</v>
      </c>
      <c r="O30" s="16"/>
      <c r="P30" s="16">
        <f t="shared" si="9"/>
        <v>0</v>
      </c>
      <c r="Q30" s="16"/>
      <c r="R30" s="16">
        <f t="shared" si="10"/>
        <v>0</v>
      </c>
      <c r="S30" s="16"/>
      <c r="T30" s="16">
        <f t="shared" si="11"/>
        <v>0</v>
      </c>
      <c r="U30" s="16"/>
      <c r="V30" s="16">
        <f t="shared" si="12"/>
        <v>0</v>
      </c>
      <c r="W30" s="16"/>
      <c r="X30" s="16"/>
      <c r="Y30" s="16"/>
      <c r="Z30" s="16">
        <f t="shared" si="13"/>
        <v>0</v>
      </c>
      <c r="AA30" s="16"/>
      <c r="AB30" s="16">
        <f t="shared" si="14"/>
        <v>0</v>
      </c>
      <c r="AC30" s="16"/>
      <c r="AD30" s="16">
        <f t="shared" si="15"/>
        <v>0</v>
      </c>
      <c r="AE30" s="16"/>
      <c r="AF30" s="16">
        <f t="shared" si="16"/>
        <v>0</v>
      </c>
      <c r="AG30" s="16"/>
      <c r="AH30" s="16">
        <f t="shared" si="17"/>
        <v>0</v>
      </c>
      <c r="AI30" s="16"/>
      <c r="AJ30" s="16">
        <f t="shared" si="18"/>
        <v>0</v>
      </c>
      <c r="AK30" s="16"/>
      <c r="AL30" s="16">
        <f t="shared" si="19"/>
        <v>0</v>
      </c>
      <c r="AM30" s="16"/>
      <c r="AN30" s="16">
        <f t="shared" si="2"/>
        <v>0</v>
      </c>
      <c r="AO30" s="16"/>
      <c r="AP30" s="16">
        <f t="shared" si="20"/>
        <v>0</v>
      </c>
      <c r="AQ30" s="16"/>
      <c r="AR30" s="16">
        <f t="shared" si="21"/>
        <v>0</v>
      </c>
      <c r="AS30" s="16"/>
      <c r="AT30" s="16">
        <f t="shared" si="22"/>
        <v>0</v>
      </c>
      <c r="AU30" s="16"/>
      <c r="AV30" s="16">
        <f t="shared" si="23"/>
        <v>0</v>
      </c>
      <c r="AW30" s="16"/>
      <c r="AX30" s="16">
        <f t="shared" si="3"/>
        <v>0</v>
      </c>
      <c r="AY30" s="16"/>
      <c r="AZ30" s="16">
        <f t="shared" si="24"/>
        <v>0</v>
      </c>
      <c r="BA30" s="16"/>
      <c r="BB30" s="16">
        <f t="shared" si="25"/>
        <v>0</v>
      </c>
      <c r="BC30" s="11">
        <f t="shared" si="4"/>
        <v>0</v>
      </c>
      <c r="BD30" s="17"/>
      <c r="BE30" s="17"/>
      <c r="BF30" s="17">
        <v>1000</v>
      </c>
      <c r="BG30" s="16">
        <f t="shared" si="5"/>
        <v>23000000</v>
      </c>
      <c r="BH30" s="17"/>
      <c r="BI30" s="17"/>
    </row>
    <row r="31" spans="1:61" ht="12.75">
      <c r="A31" s="38">
        <v>35857</v>
      </c>
      <c r="B31" s="39" t="s">
        <v>49</v>
      </c>
      <c r="C31" s="40" t="s">
        <v>54</v>
      </c>
      <c r="D31" s="40" t="s">
        <v>25</v>
      </c>
      <c r="E31" s="17">
        <v>50</v>
      </c>
      <c r="F31" s="16">
        <f t="shared" si="0"/>
        <v>17400</v>
      </c>
      <c r="G31" s="17">
        <v>50</v>
      </c>
      <c r="H31" s="16">
        <f t="shared" si="1"/>
        <v>14790</v>
      </c>
      <c r="I31" s="16">
        <v>25</v>
      </c>
      <c r="J31" s="16">
        <f t="shared" si="6"/>
        <v>104400</v>
      </c>
      <c r="K31" s="16"/>
      <c r="L31" s="16">
        <f t="shared" si="7"/>
        <v>0</v>
      </c>
      <c r="M31" s="16"/>
      <c r="N31" s="16">
        <f t="shared" si="8"/>
        <v>0</v>
      </c>
      <c r="O31" s="16"/>
      <c r="P31" s="16">
        <f t="shared" si="9"/>
        <v>0</v>
      </c>
      <c r="Q31" s="16">
        <v>50</v>
      </c>
      <c r="R31" s="16">
        <f t="shared" si="10"/>
        <v>1363000</v>
      </c>
      <c r="S31" s="16">
        <v>50</v>
      </c>
      <c r="T31" s="16">
        <f t="shared" si="11"/>
        <v>94250</v>
      </c>
      <c r="U31" s="16">
        <v>50</v>
      </c>
      <c r="V31" s="16">
        <f t="shared" si="12"/>
        <v>29032</v>
      </c>
      <c r="W31" s="16"/>
      <c r="X31" s="16"/>
      <c r="Y31" s="16"/>
      <c r="Z31" s="16">
        <f t="shared" si="13"/>
        <v>0</v>
      </c>
      <c r="AA31" s="16"/>
      <c r="AB31" s="16">
        <f t="shared" si="14"/>
        <v>0</v>
      </c>
      <c r="AC31" s="16">
        <v>50</v>
      </c>
      <c r="AD31" s="16">
        <f t="shared" si="15"/>
        <v>31320</v>
      </c>
      <c r="AE31" s="16">
        <v>50</v>
      </c>
      <c r="AF31" s="16">
        <f t="shared" si="16"/>
        <v>102022</v>
      </c>
      <c r="AG31" s="16">
        <v>25</v>
      </c>
      <c r="AH31" s="16">
        <f t="shared" si="17"/>
        <v>165793</v>
      </c>
      <c r="AI31" s="16">
        <v>50</v>
      </c>
      <c r="AJ31" s="16">
        <f t="shared" si="18"/>
        <v>23200</v>
      </c>
      <c r="AK31" s="16">
        <v>50</v>
      </c>
      <c r="AL31" s="16">
        <f t="shared" si="19"/>
        <v>3190</v>
      </c>
      <c r="AM31" s="16"/>
      <c r="AN31" s="16">
        <f t="shared" si="2"/>
        <v>0</v>
      </c>
      <c r="AO31" s="16">
        <v>50</v>
      </c>
      <c r="AP31" s="16">
        <f t="shared" si="20"/>
        <v>13630.000000000002</v>
      </c>
      <c r="AQ31" s="16">
        <v>50</v>
      </c>
      <c r="AR31" s="16">
        <f t="shared" si="21"/>
        <v>16240</v>
      </c>
      <c r="AS31" s="16">
        <v>50</v>
      </c>
      <c r="AT31" s="16">
        <f t="shared" si="22"/>
        <v>16190</v>
      </c>
      <c r="AU31" s="16">
        <v>50</v>
      </c>
      <c r="AV31" s="16">
        <f t="shared" si="23"/>
        <v>323288</v>
      </c>
      <c r="AW31" s="16"/>
      <c r="AX31" s="16">
        <f t="shared" si="3"/>
        <v>0</v>
      </c>
      <c r="AY31" s="16"/>
      <c r="AZ31" s="16">
        <f t="shared" si="24"/>
        <v>0</v>
      </c>
      <c r="BA31" s="16"/>
      <c r="BB31" s="16">
        <f t="shared" si="25"/>
        <v>0</v>
      </c>
      <c r="BC31" s="11">
        <f t="shared" si="4"/>
        <v>2317745</v>
      </c>
      <c r="BD31" s="17"/>
      <c r="BE31" s="17"/>
      <c r="BF31" s="17"/>
      <c r="BG31" s="16">
        <f t="shared" si="5"/>
        <v>0</v>
      </c>
      <c r="BH31" s="17">
        <v>500</v>
      </c>
      <c r="BI31" s="17">
        <f>500*13122*1.16</f>
        <v>7610759.999999999</v>
      </c>
    </row>
    <row r="32" spans="1:61" ht="12.75">
      <c r="A32" s="38">
        <v>35870</v>
      </c>
      <c r="B32" s="39" t="s">
        <v>49</v>
      </c>
      <c r="C32" s="40" t="s">
        <v>54</v>
      </c>
      <c r="D32" s="40" t="s">
        <v>879</v>
      </c>
      <c r="E32" s="17"/>
      <c r="F32" s="16">
        <f t="shared" si="0"/>
        <v>0</v>
      </c>
      <c r="G32" s="17"/>
      <c r="H32" s="16">
        <f t="shared" si="1"/>
        <v>0</v>
      </c>
      <c r="I32" s="16"/>
      <c r="J32" s="16">
        <f t="shared" si="6"/>
        <v>0</v>
      </c>
      <c r="K32" s="16"/>
      <c r="L32" s="16">
        <f t="shared" si="7"/>
        <v>0</v>
      </c>
      <c r="M32" s="16"/>
      <c r="N32" s="16">
        <f t="shared" si="8"/>
        <v>0</v>
      </c>
      <c r="O32" s="16"/>
      <c r="P32" s="16">
        <f t="shared" si="9"/>
        <v>0</v>
      </c>
      <c r="Q32" s="16"/>
      <c r="R32" s="16">
        <f t="shared" si="10"/>
        <v>0</v>
      </c>
      <c r="S32" s="16"/>
      <c r="T32" s="16">
        <f t="shared" si="11"/>
        <v>0</v>
      </c>
      <c r="U32" s="16"/>
      <c r="V32" s="16">
        <f t="shared" si="12"/>
        <v>0</v>
      </c>
      <c r="W32" s="16"/>
      <c r="X32" s="16"/>
      <c r="Y32" s="16"/>
      <c r="Z32" s="16">
        <f t="shared" si="13"/>
        <v>0</v>
      </c>
      <c r="AA32" s="16"/>
      <c r="AB32" s="16">
        <f t="shared" si="14"/>
        <v>0</v>
      </c>
      <c r="AC32" s="16"/>
      <c r="AD32" s="16">
        <f t="shared" si="15"/>
        <v>0</v>
      </c>
      <c r="AE32" s="16"/>
      <c r="AF32" s="16">
        <f t="shared" si="16"/>
        <v>0</v>
      </c>
      <c r="AG32" s="16"/>
      <c r="AH32" s="16">
        <f t="shared" si="17"/>
        <v>0</v>
      </c>
      <c r="AI32" s="16"/>
      <c r="AJ32" s="16">
        <f t="shared" si="18"/>
        <v>0</v>
      </c>
      <c r="AK32" s="16"/>
      <c r="AL32" s="16">
        <f t="shared" si="19"/>
        <v>0</v>
      </c>
      <c r="AM32" s="16"/>
      <c r="AN32" s="16">
        <f t="shared" si="2"/>
        <v>0</v>
      </c>
      <c r="AO32" s="16"/>
      <c r="AP32" s="16">
        <f t="shared" si="20"/>
        <v>0</v>
      </c>
      <c r="AQ32" s="16"/>
      <c r="AR32" s="16">
        <f t="shared" si="21"/>
        <v>0</v>
      </c>
      <c r="AS32" s="16"/>
      <c r="AT32" s="16">
        <f t="shared" si="22"/>
        <v>0</v>
      </c>
      <c r="AU32" s="16"/>
      <c r="AV32" s="16">
        <f t="shared" si="23"/>
        <v>0</v>
      </c>
      <c r="AW32" s="16"/>
      <c r="AX32" s="16">
        <f t="shared" si="3"/>
        <v>0</v>
      </c>
      <c r="AY32" s="16"/>
      <c r="AZ32" s="16">
        <f t="shared" si="24"/>
        <v>0</v>
      </c>
      <c r="BA32" s="16"/>
      <c r="BB32" s="16">
        <f t="shared" si="25"/>
        <v>0</v>
      </c>
      <c r="BC32" s="11">
        <f t="shared" si="4"/>
        <v>0</v>
      </c>
      <c r="BD32" s="17"/>
      <c r="BE32" s="17"/>
      <c r="BF32" s="17"/>
      <c r="BG32" s="16">
        <f t="shared" si="5"/>
        <v>0</v>
      </c>
      <c r="BH32" s="17">
        <v>100</v>
      </c>
      <c r="BI32" s="16">
        <v>688344</v>
      </c>
    </row>
    <row r="33" spans="1:61" ht="12.75">
      <c r="A33" s="38">
        <v>35865</v>
      </c>
      <c r="B33" s="39" t="s">
        <v>49</v>
      </c>
      <c r="C33" s="40" t="s">
        <v>106</v>
      </c>
      <c r="D33" s="40" t="s">
        <v>911</v>
      </c>
      <c r="E33" s="17"/>
      <c r="F33" s="16">
        <f t="shared" si="0"/>
        <v>0</v>
      </c>
      <c r="G33" s="17"/>
      <c r="H33" s="16">
        <f t="shared" si="1"/>
        <v>0</v>
      </c>
      <c r="I33" s="16"/>
      <c r="J33" s="16">
        <f t="shared" si="6"/>
        <v>0</v>
      </c>
      <c r="K33" s="16"/>
      <c r="L33" s="16">
        <f t="shared" si="7"/>
        <v>0</v>
      </c>
      <c r="M33" s="16"/>
      <c r="N33" s="16">
        <f t="shared" si="8"/>
        <v>0</v>
      </c>
      <c r="O33" s="16"/>
      <c r="P33" s="16">
        <f t="shared" si="9"/>
        <v>0</v>
      </c>
      <c r="Q33" s="16"/>
      <c r="R33" s="16">
        <f t="shared" si="10"/>
        <v>0</v>
      </c>
      <c r="S33" s="16"/>
      <c r="T33" s="16">
        <f t="shared" si="11"/>
        <v>0</v>
      </c>
      <c r="U33" s="16"/>
      <c r="V33" s="16">
        <f t="shared" si="12"/>
        <v>0</v>
      </c>
      <c r="W33" s="16"/>
      <c r="X33" s="16"/>
      <c r="Y33" s="16"/>
      <c r="Z33" s="16">
        <f t="shared" si="13"/>
        <v>0</v>
      </c>
      <c r="AA33" s="16"/>
      <c r="AB33" s="16">
        <f t="shared" si="14"/>
        <v>0</v>
      </c>
      <c r="AC33" s="16"/>
      <c r="AD33" s="16">
        <f t="shared" si="15"/>
        <v>0</v>
      </c>
      <c r="AE33" s="16"/>
      <c r="AF33" s="16">
        <f t="shared" si="16"/>
        <v>0</v>
      </c>
      <c r="AG33" s="16"/>
      <c r="AH33" s="16">
        <f t="shared" si="17"/>
        <v>0</v>
      </c>
      <c r="AI33" s="16"/>
      <c r="AJ33" s="16">
        <f t="shared" si="18"/>
        <v>0</v>
      </c>
      <c r="AK33" s="16"/>
      <c r="AL33" s="16">
        <f t="shared" si="19"/>
        <v>0</v>
      </c>
      <c r="AM33" s="16"/>
      <c r="AN33" s="16">
        <f t="shared" si="2"/>
        <v>0</v>
      </c>
      <c r="AO33" s="16"/>
      <c r="AP33" s="16">
        <f t="shared" si="20"/>
        <v>0</v>
      </c>
      <c r="AQ33" s="16"/>
      <c r="AR33" s="16">
        <f t="shared" si="21"/>
        <v>0</v>
      </c>
      <c r="AS33" s="16"/>
      <c r="AT33" s="16">
        <f t="shared" si="22"/>
        <v>0</v>
      </c>
      <c r="AU33" s="16"/>
      <c r="AV33" s="16">
        <f t="shared" si="23"/>
        <v>0</v>
      </c>
      <c r="AW33" s="16"/>
      <c r="AX33" s="16">
        <f t="shared" si="3"/>
        <v>0</v>
      </c>
      <c r="AY33" s="16"/>
      <c r="AZ33" s="16">
        <f t="shared" si="24"/>
        <v>0</v>
      </c>
      <c r="BA33" s="16"/>
      <c r="BB33" s="16">
        <f t="shared" si="25"/>
        <v>0</v>
      </c>
      <c r="BC33" s="11">
        <f t="shared" si="4"/>
        <v>0</v>
      </c>
      <c r="BD33" s="17"/>
      <c r="BE33" s="17"/>
      <c r="BF33" s="17"/>
      <c r="BG33" s="16">
        <f t="shared" si="5"/>
        <v>0</v>
      </c>
      <c r="BH33" s="17">
        <v>260</v>
      </c>
      <c r="BI33" s="16">
        <v>1789694</v>
      </c>
    </row>
    <row r="34" spans="1:61" ht="15.75" customHeight="1">
      <c r="A34" s="38">
        <v>35887</v>
      </c>
      <c r="B34" s="39" t="s">
        <v>129</v>
      </c>
      <c r="C34" s="40" t="s">
        <v>130</v>
      </c>
      <c r="D34" s="40" t="s">
        <v>911</v>
      </c>
      <c r="E34" s="17"/>
      <c r="F34" s="16">
        <f t="shared" si="0"/>
        <v>0</v>
      </c>
      <c r="G34" s="17"/>
      <c r="H34" s="16">
        <f t="shared" si="1"/>
        <v>0</v>
      </c>
      <c r="I34" s="16"/>
      <c r="J34" s="16">
        <f t="shared" si="6"/>
        <v>0</v>
      </c>
      <c r="K34" s="16"/>
      <c r="L34" s="16">
        <f t="shared" si="7"/>
        <v>0</v>
      </c>
      <c r="M34" s="16">
        <v>430</v>
      </c>
      <c r="N34" s="16">
        <f t="shared" si="8"/>
        <v>1068636</v>
      </c>
      <c r="O34" s="16"/>
      <c r="P34" s="16">
        <f t="shared" si="9"/>
        <v>0</v>
      </c>
      <c r="Q34" s="16">
        <v>430</v>
      </c>
      <c r="R34" s="16">
        <f t="shared" si="10"/>
        <v>11721800</v>
      </c>
      <c r="S34" s="16"/>
      <c r="T34" s="16">
        <f t="shared" si="11"/>
        <v>0</v>
      </c>
      <c r="U34" s="16"/>
      <c r="V34" s="16">
        <f t="shared" si="12"/>
        <v>0</v>
      </c>
      <c r="W34" s="16"/>
      <c r="X34" s="16"/>
      <c r="Y34" s="16"/>
      <c r="Z34" s="16">
        <f t="shared" si="13"/>
        <v>0</v>
      </c>
      <c r="AA34" s="16"/>
      <c r="AB34" s="16">
        <f t="shared" si="14"/>
        <v>0</v>
      </c>
      <c r="AC34" s="16"/>
      <c r="AD34" s="16">
        <f t="shared" si="15"/>
        <v>0</v>
      </c>
      <c r="AE34" s="16">
        <v>430</v>
      </c>
      <c r="AF34" s="16">
        <f t="shared" si="16"/>
        <v>877389.2000000001</v>
      </c>
      <c r="AG34" s="16"/>
      <c r="AH34" s="16">
        <f t="shared" si="17"/>
        <v>0</v>
      </c>
      <c r="AI34" s="16"/>
      <c r="AJ34" s="16">
        <f t="shared" si="18"/>
        <v>0</v>
      </c>
      <c r="AK34" s="16"/>
      <c r="AL34" s="16">
        <f t="shared" si="19"/>
        <v>0</v>
      </c>
      <c r="AM34" s="16"/>
      <c r="AN34" s="16">
        <f t="shared" si="2"/>
        <v>0</v>
      </c>
      <c r="AO34" s="16">
        <v>430</v>
      </c>
      <c r="AP34" s="16">
        <f t="shared" si="20"/>
        <v>117218.00000000001</v>
      </c>
      <c r="AQ34" s="16">
        <v>430</v>
      </c>
      <c r="AR34" s="16">
        <f t="shared" si="21"/>
        <v>139664</v>
      </c>
      <c r="AS34" s="16">
        <v>430</v>
      </c>
      <c r="AT34" s="16">
        <f t="shared" si="22"/>
        <v>139234</v>
      </c>
      <c r="AU34" s="16"/>
      <c r="AV34" s="16">
        <f t="shared" si="23"/>
        <v>0</v>
      </c>
      <c r="AW34" s="16"/>
      <c r="AX34" s="16">
        <f t="shared" si="3"/>
        <v>0</v>
      </c>
      <c r="AY34" s="16"/>
      <c r="AZ34" s="16">
        <f t="shared" si="24"/>
        <v>0</v>
      </c>
      <c r="BA34" s="16"/>
      <c r="BB34" s="16">
        <f t="shared" si="25"/>
        <v>0</v>
      </c>
      <c r="BC34" s="11">
        <f t="shared" si="4"/>
        <v>14063941.2</v>
      </c>
      <c r="BD34" s="17"/>
      <c r="BE34" s="17"/>
      <c r="BF34" s="17"/>
      <c r="BG34" s="16">
        <f t="shared" si="5"/>
        <v>0</v>
      </c>
      <c r="BH34" s="17"/>
      <c r="BI34" s="17"/>
    </row>
    <row r="35" spans="1:61" ht="12.75">
      <c r="A35" s="38">
        <v>35886</v>
      </c>
      <c r="B35" s="39" t="s">
        <v>13</v>
      </c>
      <c r="C35" s="40" t="s">
        <v>135</v>
      </c>
      <c r="D35" s="40" t="s">
        <v>911</v>
      </c>
      <c r="E35" s="17">
        <v>100</v>
      </c>
      <c r="F35" s="16">
        <f t="shared" si="0"/>
        <v>34800</v>
      </c>
      <c r="G35" s="17">
        <v>100</v>
      </c>
      <c r="H35" s="16">
        <f t="shared" si="1"/>
        <v>29580</v>
      </c>
      <c r="I35" s="16"/>
      <c r="J35" s="16">
        <f t="shared" si="6"/>
        <v>0</v>
      </c>
      <c r="K35" s="16"/>
      <c r="L35" s="16">
        <f t="shared" si="7"/>
        <v>0</v>
      </c>
      <c r="M35" s="16"/>
      <c r="N35" s="16">
        <f t="shared" si="8"/>
        <v>0</v>
      </c>
      <c r="O35" s="16"/>
      <c r="P35" s="16">
        <f t="shared" si="9"/>
        <v>0</v>
      </c>
      <c r="Q35" s="16">
        <v>100</v>
      </c>
      <c r="R35" s="16">
        <f t="shared" si="10"/>
        <v>2726000</v>
      </c>
      <c r="S35" s="16">
        <v>100</v>
      </c>
      <c r="T35" s="16">
        <f t="shared" si="11"/>
        <v>188500</v>
      </c>
      <c r="U35" s="16">
        <v>100</v>
      </c>
      <c r="V35" s="16">
        <f t="shared" si="12"/>
        <v>58064</v>
      </c>
      <c r="W35" s="16"/>
      <c r="X35" s="16"/>
      <c r="Y35" s="16"/>
      <c r="Z35" s="16">
        <f t="shared" si="13"/>
        <v>0</v>
      </c>
      <c r="AA35" s="16"/>
      <c r="AB35" s="16">
        <f t="shared" si="14"/>
        <v>0</v>
      </c>
      <c r="AC35" s="16">
        <v>100</v>
      </c>
      <c r="AD35" s="16">
        <f t="shared" si="15"/>
        <v>62640</v>
      </c>
      <c r="AE35" s="16">
        <v>100</v>
      </c>
      <c r="AF35" s="16">
        <f t="shared" si="16"/>
        <v>204044</v>
      </c>
      <c r="AG35" s="16">
        <v>100</v>
      </c>
      <c r="AH35" s="16">
        <f t="shared" si="17"/>
        <v>663172</v>
      </c>
      <c r="AI35" s="16">
        <v>100</v>
      </c>
      <c r="AJ35" s="16">
        <f t="shared" si="18"/>
        <v>46400</v>
      </c>
      <c r="AK35" s="16">
        <v>100</v>
      </c>
      <c r="AL35" s="16">
        <f t="shared" si="19"/>
        <v>6380</v>
      </c>
      <c r="AM35" s="16"/>
      <c r="AN35" s="16">
        <f t="shared" si="2"/>
        <v>0</v>
      </c>
      <c r="AO35" s="16">
        <v>100</v>
      </c>
      <c r="AP35" s="16">
        <f t="shared" si="20"/>
        <v>27260.000000000004</v>
      </c>
      <c r="AQ35" s="16">
        <v>100</v>
      </c>
      <c r="AR35" s="16">
        <f t="shared" si="21"/>
        <v>32480</v>
      </c>
      <c r="AS35" s="16">
        <v>100</v>
      </c>
      <c r="AT35" s="16">
        <f t="shared" si="22"/>
        <v>32380</v>
      </c>
      <c r="AU35" s="16"/>
      <c r="AV35" s="16">
        <f t="shared" si="23"/>
        <v>0</v>
      </c>
      <c r="AW35" s="16"/>
      <c r="AX35" s="16">
        <f t="shared" si="3"/>
        <v>0</v>
      </c>
      <c r="AY35" s="16"/>
      <c r="AZ35" s="16">
        <f t="shared" si="24"/>
        <v>0</v>
      </c>
      <c r="BA35" s="16"/>
      <c r="BB35" s="16">
        <f t="shared" si="25"/>
        <v>0</v>
      </c>
      <c r="BC35" s="11">
        <f t="shared" si="4"/>
        <v>4111700</v>
      </c>
      <c r="BD35" s="17"/>
      <c r="BE35" s="17"/>
      <c r="BF35" s="17">
        <v>100</v>
      </c>
      <c r="BG35" s="16">
        <f t="shared" si="5"/>
        <v>2300000</v>
      </c>
      <c r="BH35" s="17"/>
      <c r="BI35" s="17"/>
    </row>
    <row r="36" spans="1:61" ht="22.5">
      <c r="A36" s="38">
        <v>35893</v>
      </c>
      <c r="B36" s="39" t="s">
        <v>877</v>
      </c>
      <c r="C36" s="40" t="s">
        <v>140</v>
      </c>
      <c r="D36" s="40" t="s">
        <v>891</v>
      </c>
      <c r="E36" s="17"/>
      <c r="F36" s="16">
        <f t="shared" si="0"/>
        <v>0</v>
      </c>
      <c r="G36" s="17"/>
      <c r="H36" s="16">
        <f t="shared" si="1"/>
        <v>0</v>
      </c>
      <c r="I36" s="16"/>
      <c r="J36" s="16">
        <f t="shared" si="6"/>
        <v>0</v>
      </c>
      <c r="K36" s="16"/>
      <c r="L36" s="16">
        <f t="shared" si="7"/>
        <v>0</v>
      </c>
      <c r="M36" s="16"/>
      <c r="N36" s="16">
        <f t="shared" si="8"/>
        <v>0</v>
      </c>
      <c r="O36" s="16"/>
      <c r="P36" s="16">
        <f t="shared" si="9"/>
        <v>0</v>
      </c>
      <c r="Q36" s="16"/>
      <c r="R36" s="16">
        <f t="shared" si="10"/>
        <v>0</v>
      </c>
      <c r="S36" s="16"/>
      <c r="T36" s="16">
        <f t="shared" si="11"/>
        <v>0</v>
      </c>
      <c r="U36" s="16"/>
      <c r="V36" s="16">
        <f t="shared" si="12"/>
        <v>0</v>
      </c>
      <c r="W36" s="16"/>
      <c r="X36" s="16"/>
      <c r="Y36" s="16"/>
      <c r="Z36" s="16">
        <f t="shared" si="13"/>
        <v>0</v>
      </c>
      <c r="AA36" s="16"/>
      <c r="AB36" s="16">
        <f t="shared" si="14"/>
        <v>0</v>
      </c>
      <c r="AC36" s="16"/>
      <c r="AD36" s="16">
        <f t="shared" si="15"/>
        <v>0</v>
      </c>
      <c r="AE36" s="16"/>
      <c r="AF36" s="16">
        <f t="shared" si="16"/>
        <v>0</v>
      </c>
      <c r="AG36" s="16"/>
      <c r="AH36" s="16">
        <f t="shared" si="17"/>
        <v>0</v>
      </c>
      <c r="AI36" s="16"/>
      <c r="AJ36" s="16">
        <f t="shared" si="18"/>
        <v>0</v>
      </c>
      <c r="AK36" s="16"/>
      <c r="AL36" s="16">
        <f t="shared" si="19"/>
        <v>0</v>
      </c>
      <c r="AM36" s="16"/>
      <c r="AN36" s="16">
        <f t="shared" si="2"/>
        <v>0</v>
      </c>
      <c r="AO36" s="16"/>
      <c r="AP36" s="16">
        <f t="shared" si="20"/>
        <v>0</v>
      </c>
      <c r="AQ36" s="16"/>
      <c r="AR36" s="16">
        <f t="shared" si="21"/>
        <v>0</v>
      </c>
      <c r="AS36" s="16"/>
      <c r="AT36" s="16">
        <f t="shared" si="22"/>
        <v>0</v>
      </c>
      <c r="AU36" s="16"/>
      <c r="AV36" s="16">
        <f t="shared" si="23"/>
        <v>0</v>
      </c>
      <c r="AW36" s="16"/>
      <c r="AX36" s="16">
        <f t="shared" si="3"/>
        <v>0</v>
      </c>
      <c r="AY36" s="16"/>
      <c r="AZ36" s="16">
        <f t="shared" si="24"/>
        <v>0</v>
      </c>
      <c r="BA36" s="16"/>
      <c r="BB36" s="16">
        <f t="shared" si="25"/>
        <v>0</v>
      </c>
      <c r="BC36" s="11">
        <f t="shared" si="4"/>
        <v>0</v>
      </c>
      <c r="BD36" s="17"/>
      <c r="BE36" s="17"/>
      <c r="BF36" s="17">
        <v>150</v>
      </c>
      <c r="BG36" s="16">
        <f t="shared" si="5"/>
        <v>3450000</v>
      </c>
      <c r="BH36" s="17"/>
      <c r="BI36" s="17"/>
    </row>
    <row r="37" spans="1:61" ht="12.75">
      <c r="A37" s="38">
        <v>35903</v>
      </c>
      <c r="B37" s="39" t="s">
        <v>16</v>
      </c>
      <c r="C37" s="40" t="s">
        <v>144</v>
      </c>
      <c r="D37" s="40" t="s">
        <v>821</v>
      </c>
      <c r="E37" s="17"/>
      <c r="F37" s="16">
        <f t="shared" si="0"/>
        <v>0</v>
      </c>
      <c r="G37" s="17"/>
      <c r="H37" s="16">
        <f t="shared" si="1"/>
        <v>0</v>
      </c>
      <c r="I37" s="16"/>
      <c r="J37" s="16">
        <f t="shared" si="6"/>
        <v>0</v>
      </c>
      <c r="K37" s="16"/>
      <c r="L37" s="16">
        <f t="shared" si="7"/>
        <v>0</v>
      </c>
      <c r="M37" s="16">
        <v>90</v>
      </c>
      <c r="N37" s="16">
        <f t="shared" si="8"/>
        <v>223667.99999999997</v>
      </c>
      <c r="O37" s="16"/>
      <c r="P37" s="16">
        <f t="shared" si="9"/>
        <v>0</v>
      </c>
      <c r="Q37" s="16">
        <v>90</v>
      </c>
      <c r="R37" s="16">
        <f t="shared" si="10"/>
        <v>2453400</v>
      </c>
      <c r="S37" s="16"/>
      <c r="T37" s="16">
        <f t="shared" si="11"/>
        <v>0</v>
      </c>
      <c r="U37" s="16"/>
      <c r="V37" s="16">
        <f t="shared" si="12"/>
        <v>0</v>
      </c>
      <c r="W37" s="16"/>
      <c r="X37" s="16"/>
      <c r="Y37" s="16"/>
      <c r="Z37" s="16">
        <f t="shared" si="13"/>
        <v>0</v>
      </c>
      <c r="AA37" s="16"/>
      <c r="AB37" s="16">
        <f t="shared" si="14"/>
        <v>0</v>
      </c>
      <c r="AC37" s="16"/>
      <c r="AD37" s="16">
        <f t="shared" si="15"/>
        <v>0</v>
      </c>
      <c r="AE37" s="16"/>
      <c r="AF37" s="16">
        <f t="shared" si="16"/>
        <v>0</v>
      </c>
      <c r="AG37" s="16"/>
      <c r="AH37" s="16">
        <f t="shared" si="17"/>
        <v>0</v>
      </c>
      <c r="AI37" s="16"/>
      <c r="AJ37" s="16">
        <f t="shared" si="18"/>
        <v>0</v>
      </c>
      <c r="AK37" s="16"/>
      <c r="AL37" s="16">
        <f t="shared" si="19"/>
        <v>0</v>
      </c>
      <c r="AM37" s="16"/>
      <c r="AN37" s="16">
        <f t="shared" si="2"/>
        <v>0</v>
      </c>
      <c r="AO37" s="16"/>
      <c r="AP37" s="16">
        <f t="shared" si="20"/>
        <v>0</v>
      </c>
      <c r="AQ37" s="16"/>
      <c r="AR37" s="16">
        <f t="shared" si="21"/>
        <v>0</v>
      </c>
      <c r="AS37" s="16"/>
      <c r="AT37" s="16">
        <f t="shared" si="22"/>
        <v>0</v>
      </c>
      <c r="AU37" s="16"/>
      <c r="AV37" s="16">
        <f t="shared" si="23"/>
        <v>0</v>
      </c>
      <c r="AW37" s="16"/>
      <c r="AX37" s="16">
        <f t="shared" si="3"/>
        <v>0</v>
      </c>
      <c r="AY37" s="16"/>
      <c r="AZ37" s="16">
        <f t="shared" si="24"/>
        <v>0</v>
      </c>
      <c r="BA37" s="16"/>
      <c r="BB37" s="16">
        <f t="shared" si="25"/>
        <v>0</v>
      </c>
      <c r="BC37" s="11">
        <f t="shared" si="4"/>
        <v>2677068</v>
      </c>
      <c r="BD37" s="17"/>
      <c r="BE37" s="17"/>
      <c r="BF37" s="17"/>
      <c r="BG37" s="16">
        <f t="shared" si="5"/>
        <v>0</v>
      </c>
      <c r="BH37" s="17"/>
      <c r="BI37" s="17"/>
    </row>
    <row r="38" spans="1:61" ht="12.75">
      <c r="A38" s="38">
        <v>35857</v>
      </c>
      <c r="B38" s="39" t="s">
        <v>34</v>
      </c>
      <c r="C38" s="40" t="s">
        <v>875</v>
      </c>
      <c r="D38" s="40" t="s">
        <v>911</v>
      </c>
      <c r="E38" s="17"/>
      <c r="F38" s="16">
        <f t="shared" si="0"/>
        <v>0</v>
      </c>
      <c r="G38" s="17"/>
      <c r="H38" s="16">
        <f t="shared" si="1"/>
        <v>0</v>
      </c>
      <c r="I38" s="16"/>
      <c r="J38" s="16">
        <f t="shared" si="6"/>
        <v>0</v>
      </c>
      <c r="K38" s="16"/>
      <c r="L38" s="16">
        <f t="shared" si="7"/>
        <v>0</v>
      </c>
      <c r="M38" s="16"/>
      <c r="N38" s="16">
        <f t="shared" si="8"/>
        <v>0</v>
      </c>
      <c r="O38" s="16"/>
      <c r="P38" s="16">
        <f t="shared" si="9"/>
        <v>0</v>
      </c>
      <c r="Q38" s="16">
        <v>600</v>
      </c>
      <c r="R38" s="16">
        <f t="shared" si="10"/>
        <v>16356000</v>
      </c>
      <c r="S38" s="16"/>
      <c r="T38" s="16">
        <f t="shared" si="11"/>
        <v>0</v>
      </c>
      <c r="U38" s="16"/>
      <c r="V38" s="16">
        <f t="shared" si="12"/>
        <v>0</v>
      </c>
      <c r="W38" s="16"/>
      <c r="X38" s="16"/>
      <c r="Y38" s="16"/>
      <c r="Z38" s="16">
        <f t="shared" si="13"/>
        <v>0</v>
      </c>
      <c r="AA38" s="16"/>
      <c r="AB38" s="16">
        <f t="shared" si="14"/>
        <v>0</v>
      </c>
      <c r="AC38" s="16"/>
      <c r="AD38" s="16">
        <f t="shared" si="15"/>
        <v>0</v>
      </c>
      <c r="AE38" s="16"/>
      <c r="AF38" s="16">
        <f t="shared" si="16"/>
        <v>0</v>
      </c>
      <c r="AG38" s="16"/>
      <c r="AH38" s="16">
        <f t="shared" si="17"/>
        <v>0</v>
      </c>
      <c r="AI38" s="16"/>
      <c r="AJ38" s="16">
        <f t="shared" si="18"/>
        <v>0</v>
      </c>
      <c r="AK38" s="16"/>
      <c r="AL38" s="16">
        <f t="shared" si="19"/>
        <v>0</v>
      </c>
      <c r="AM38" s="16"/>
      <c r="AN38" s="16">
        <f t="shared" si="2"/>
        <v>0</v>
      </c>
      <c r="AO38" s="16"/>
      <c r="AP38" s="16">
        <f t="shared" si="20"/>
        <v>0</v>
      </c>
      <c r="AQ38" s="16"/>
      <c r="AR38" s="16">
        <f t="shared" si="21"/>
        <v>0</v>
      </c>
      <c r="AS38" s="16"/>
      <c r="AT38" s="16">
        <f t="shared" si="22"/>
        <v>0</v>
      </c>
      <c r="AU38" s="16">
        <v>600</v>
      </c>
      <c r="AV38" s="16">
        <f t="shared" si="23"/>
        <v>3879456</v>
      </c>
      <c r="AW38" s="16"/>
      <c r="AX38" s="16">
        <f t="shared" si="3"/>
        <v>0</v>
      </c>
      <c r="AY38" s="16"/>
      <c r="AZ38" s="16">
        <f t="shared" si="24"/>
        <v>0</v>
      </c>
      <c r="BA38" s="16"/>
      <c r="BB38" s="16">
        <f t="shared" si="25"/>
        <v>0</v>
      </c>
      <c r="BC38" s="11">
        <f t="shared" si="4"/>
        <v>20235456</v>
      </c>
      <c r="BD38" s="17"/>
      <c r="BE38" s="17"/>
      <c r="BF38" s="17">
        <v>200</v>
      </c>
      <c r="BG38" s="16">
        <f t="shared" si="5"/>
        <v>4600000</v>
      </c>
      <c r="BH38" s="17"/>
      <c r="BI38" s="17"/>
    </row>
    <row r="39" spans="1:61" ht="12.75">
      <c r="A39" s="38">
        <v>35914</v>
      </c>
      <c r="B39" s="39" t="s">
        <v>34</v>
      </c>
      <c r="C39" s="40" t="s">
        <v>157</v>
      </c>
      <c r="D39" s="40" t="s">
        <v>911</v>
      </c>
      <c r="E39" s="17"/>
      <c r="F39" s="16">
        <f t="shared" si="0"/>
        <v>0</v>
      </c>
      <c r="G39" s="17"/>
      <c r="H39" s="16">
        <f t="shared" si="1"/>
        <v>0</v>
      </c>
      <c r="I39" s="16"/>
      <c r="J39" s="16">
        <f t="shared" si="6"/>
        <v>0</v>
      </c>
      <c r="K39" s="16"/>
      <c r="L39" s="16">
        <f t="shared" si="7"/>
        <v>0</v>
      </c>
      <c r="M39" s="16"/>
      <c r="N39" s="16">
        <f t="shared" si="8"/>
        <v>0</v>
      </c>
      <c r="O39" s="16"/>
      <c r="P39" s="16">
        <f t="shared" si="9"/>
        <v>0</v>
      </c>
      <c r="Q39" s="16"/>
      <c r="R39" s="16">
        <f t="shared" si="10"/>
        <v>0</v>
      </c>
      <c r="S39" s="16"/>
      <c r="T39" s="16">
        <f t="shared" si="11"/>
        <v>0</v>
      </c>
      <c r="U39" s="16"/>
      <c r="V39" s="16">
        <f t="shared" si="12"/>
        <v>0</v>
      </c>
      <c r="W39" s="16"/>
      <c r="X39" s="16"/>
      <c r="Y39" s="16"/>
      <c r="Z39" s="16">
        <f t="shared" si="13"/>
        <v>0</v>
      </c>
      <c r="AA39" s="16"/>
      <c r="AB39" s="16">
        <f t="shared" si="14"/>
        <v>0</v>
      </c>
      <c r="AC39" s="16"/>
      <c r="AD39" s="16">
        <f t="shared" si="15"/>
        <v>0</v>
      </c>
      <c r="AE39" s="16"/>
      <c r="AF39" s="16">
        <f t="shared" si="16"/>
        <v>0</v>
      </c>
      <c r="AG39" s="16"/>
      <c r="AH39" s="16">
        <f t="shared" si="17"/>
        <v>0</v>
      </c>
      <c r="AI39" s="16"/>
      <c r="AJ39" s="16">
        <f t="shared" si="18"/>
        <v>0</v>
      </c>
      <c r="AK39" s="16"/>
      <c r="AL39" s="16">
        <f t="shared" si="19"/>
        <v>0</v>
      </c>
      <c r="AM39" s="16"/>
      <c r="AN39" s="16">
        <f t="shared" si="2"/>
        <v>0</v>
      </c>
      <c r="AO39" s="16"/>
      <c r="AP39" s="16">
        <f t="shared" si="20"/>
        <v>0</v>
      </c>
      <c r="AQ39" s="16"/>
      <c r="AR39" s="16">
        <f t="shared" si="21"/>
        <v>0</v>
      </c>
      <c r="AS39" s="16"/>
      <c r="AT39" s="16">
        <f t="shared" si="22"/>
        <v>0</v>
      </c>
      <c r="AU39" s="16"/>
      <c r="AV39" s="16">
        <f t="shared" si="23"/>
        <v>0</v>
      </c>
      <c r="AW39" s="16"/>
      <c r="AX39" s="16">
        <f t="shared" si="3"/>
        <v>0</v>
      </c>
      <c r="AY39" s="16"/>
      <c r="AZ39" s="16">
        <f t="shared" si="24"/>
        <v>0</v>
      </c>
      <c r="BA39" s="16"/>
      <c r="BB39" s="16">
        <f t="shared" si="25"/>
        <v>0</v>
      </c>
      <c r="BC39" s="11">
        <f t="shared" si="4"/>
        <v>0</v>
      </c>
      <c r="BD39" s="17"/>
      <c r="BE39" s="17"/>
      <c r="BF39" s="17"/>
      <c r="BG39" s="16">
        <f t="shared" si="5"/>
        <v>0</v>
      </c>
      <c r="BH39" s="17">
        <v>250</v>
      </c>
      <c r="BI39" s="16">
        <f>+BH39*6885.76</f>
        <v>1721440</v>
      </c>
    </row>
    <row r="40" spans="1:61" ht="12.75">
      <c r="A40" s="38">
        <v>35907</v>
      </c>
      <c r="B40" s="39" t="s">
        <v>39</v>
      </c>
      <c r="C40" s="40" t="s">
        <v>158</v>
      </c>
      <c r="D40" s="40" t="s">
        <v>821</v>
      </c>
      <c r="E40" s="17">
        <v>500</v>
      </c>
      <c r="F40" s="16">
        <f t="shared" si="0"/>
        <v>174000</v>
      </c>
      <c r="G40" s="17">
        <v>500</v>
      </c>
      <c r="H40" s="16">
        <f t="shared" si="1"/>
        <v>147900</v>
      </c>
      <c r="I40" s="16"/>
      <c r="J40" s="16">
        <f t="shared" si="6"/>
        <v>0</v>
      </c>
      <c r="K40" s="16"/>
      <c r="L40" s="16">
        <f t="shared" si="7"/>
        <v>0</v>
      </c>
      <c r="M40" s="16"/>
      <c r="N40" s="16">
        <f t="shared" si="8"/>
        <v>0</v>
      </c>
      <c r="O40" s="16"/>
      <c r="P40" s="16">
        <f t="shared" si="9"/>
        <v>0</v>
      </c>
      <c r="Q40" s="16">
        <v>500</v>
      </c>
      <c r="R40" s="16">
        <f t="shared" si="10"/>
        <v>13630000</v>
      </c>
      <c r="S40" s="16">
        <v>500</v>
      </c>
      <c r="T40" s="16">
        <f t="shared" si="11"/>
        <v>942500</v>
      </c>
      <c r="U40" s="16">
        <v>500</v>
      </c>
      <c r="V40" s="16">
        <f t="shared" si="12"/>
        <v>290320</v>
      </c>
      <c r="W40" s="16"/>
      <c r="X40" s="16"/>
      <c r="Y40" s="16"/>
      <c r="Z40" s="16">
        <f t="shared" si="13"/>
        <v>0</v>
      </c>
      <c r="AA40" s="16"/>
      <c r="AB40" s="16">
        <f t="shared" si="14"/>
        <v>0</v>
      </c>
      <c r="AC40" s="16">
        <v>500</v>
      </c>
      <c r="AD40" s="16">
        <f t="shared" si="15"/>
        <v>313200</v>
      </c>
      <c r="AE40" s="16">
        <v>500</v>
      </c>
      <c r="AF40" s="16">
        <f t="shared" si="16"/>
        <v>1020220</v>
      </c>
      <c r="AG40" s="16">
        <v>500</v>
      </c>
      <c r="AH40" s="16">
        <f t="shared" si="17"/>
        <v>3315860</v>
      </c>
      <c r="AI40" s="16">
        <v>500</v>
      </c>
      <c r="AJ40" s="16">
        <f t="shared" si="18"/>
        <v>232000</v>
      </c>
      <c r="AK40" s="16">
        <v>500</v>
      </c>
      <c r="AL40" s="16">
        <f t="shared" si="19"/>
        <v>31900</v>
      </c>
      <c r="AM40" s="16"/>
      <c r="AN40" s="16">
        <f t="shared" si="2"/>
        <v>0</v>
      </c>
      <c r="AO40" s="16">
        <v>500</v>
      </c>
      <c r="AP40" s="16">
        <f t="shared" si="20"/>
        <v>136300</v>
      </c>
      <c r="AQ40" s="16">
        <v>500</v>
      </c>
      <c r="AR40" s="16">
        <f t="shared" si="21"/>
        <v>162400</v>
      </c>
      <c r="AS40" s="16">
        <v>500</v>
      </c>
      <c r="AT40" s="16">
        <f t="shared" si="22"/>
        <v>161900</v>
      </c>
      <c r="AU40" s="16">
        <v>500</v>
      </c>
      <c r="AV40" s="16">
        <f t="shared" si="23"/>
        <v>3232880</v>
      </c>
      <c r="AW40" s="16"/>
      <c r="AX40" s="16">
        <f t="shared" si="3"/>
        <v>0</v>
      </c>
      <c r="AY40" s="16"/>
      <c r="AZ40" s="16">
        <f t="shared" si="24"/>
        <v>0</v>
      </c>
      <c r="BA40" s="16"/>
      <c r="BB40" s="16">
        <f t="shared" si="25"/>
        <v>0</v>
      </c>
      <c r="BC40" s="11">
        <f t="shared" si="4"/>
        <v>23791380</v>
      </c>
      <c r="BD40" s="17"/>
      <c r="BE40" s="17"/>
      <c r="BF40" s="17">
        <v>200</v>
      </c>
      <c r="BG40" s="16">
        <f t="shared" si="5"/>
        <v>4600000</v>
      </c>
      <c r="BH40" s="17"/>
      <c r="BI40" s="17"/>
    </row>
    <row r="41" spans="1:61" ht="22.5">
      <c r="A41" s="38">
        <v>35891</v>
      </c>
      <c r="B41" s="39" t="s">
        <v>889</v>
      </c>
      <c r="C41" s="40" t="s">
        <v>162</v>
      </c>
      <c r="D41" s="40" t="s">
        <v>911</v>
      </c>
      <c r="E41" s="17"/>
      <c r="F41" s="16">
        <f t="shared" si="0"/>
        <v>0</v>
      </c>
      <c r="G41" s="17"/>
      <c r="H41" s="16">
        <f t="shared" si="1"/>
        <v>0</v>
      </c>
      <c r="I41" s="16"/>
      <c r="J41" s="16">
        <f t="shared" si="6"/>
        <v>0</v>
      </c>
      <c r="K41" s="16"/>
      <c r="L41" s="16">
        <f t="shared" si="7"/>
        <v>0</v>
      </c>
      <c r="M41" s="16"/>
      <c r="N41" s="16">
        <f t="shared" si="8"/>
        <v>0</v>
      </c>
      <c r="O41" s="16"/>
      <c r="P41" s="16">
        <f t="shared" si="9"/>
        <v>0</v>
      </c>
      <c r="Q41" s="16"/>
      <c r="R41" s="16">
        <f t="shared" si="10"/>
        <v>0</v>
      </c>
      <c r="S41" s="16"/>
      <c r="T41" s="16">
        <f t="shared" si="11"/>
        <v>0</v>
      </c>
      <c r="U41" s="16"/>
      <c r="V41" s="16">
        <f t="shared" si="12"/>
        <v>0</v>
      </c>
      <c r="W41" s="16"/>
      <c r="X41" s="16"/>
      <c r="Y41" s="16"/>
      <c r="Z41" s="16">
        <f t="shared" si="13"/>
        <v>0</v>
      </c>
      <c r="AA41" s="16"/>
      <c r="AB41" s="16">
        <f t="shared" si="14"/>
        <v>0</v>
      </c>
      <c r="AC41" s="16"/>
      <c r="AD41" s="16">
        <f t="shared" si="15"/>
        <v>0</v>
      </c>
      <c r="AE41" s="16"/>
      <c r="AF41" s="16">
        <f t="shared" si="16"/>
        <v>0</v>
      </c>
      <c r="AG41" s="16"/>
      <c r="AH41" s="16">
        <f t="shared" si="17"/>
        <v>0</v>
      </c>
      <c r="AI41" s="16"/>
      <c r="AJ41" s="16">
        <f t="shared" si="18"/>
        <v>0</v>
      </c>
      <c r="AK41" s="16"/>
      <c r="AL41" s="16">
        <f t="shared" si="19"/>
        <v>0</v>
      </c>
      <c r="AM41" s="16"/>
      <c r="AN41" s="16">
        <f t="shared" si="2"/>
        <v>0</v>
      </c>
      <c r="AO41" s="16"/>
      <c r="AP41" s="16">
        <f t="shared" si="20"/>
        <v>0</v>
      </c>
      <c r="AQ41" s="16"/>
      <c r="AR41" s="16">
        <f t="shared" si="21"/>
        <v>0</v>
      </c>
      <c r="AS41" s="16"/>
      <c r="AT41" s="16">
        <f t="shared" si="22"/>
        <v>0</v>
      </c>
      <c r="AU41" s="16"/>
      <c r="AV41" s="16">
        <f t="shared" si="23"/>
        <v>0</v>
      </c>
      <c r="AW41" s="16"/>
      <c r="AX41" s="16">
        <f t="shared" si="3"/>
        <v>0</v>
      </c>
      <c r="AY41" s="16"/>
      <c r="AZ41" s="16">
        <f t="shared" si="24"/>
        <v>0</v>
      </c>
      <c r="BA41" s="16"/>
      <c r="BB41" s="16">
        <f t="shared" si="25"/>
        <v>0</v>
      </c>
      <c r="BC41" s="11">
        <f t="shared" si="4"/>
        <v>0</v>
      </c>
      <c r="BD41" s="17"/>
      <c r="BE41" s="17"/>
      <c r="BF41" s="17"/>
      <c r="BG41" s="16">
        <f t="shared" si="5"/>
        <v>0</v>
      </c>
      <c r="BH41" s="17">
        <v>1000</v>
      </c>
      <c r="BI41" s="16">
        <v>6883440</v>
      </c>
    </row>
    <row r="42" spans="1:61" ht="12.75">
      <c r="A42" s="38">
        <v>35901</v>
      </c>
      <c r="B42" s="39" t="s">
        <v>100</v>
      </c>
      <c r="C42" s="40" t="s">
        <v>101</v>
      </c>
      <c r="D42" s="40" t="s">
        <v>911</v>
      </c>
      <c r="E42" s="17"/>
      <c r="F42" s="16">
        <f t="shared" si="0"/>
        <v>0</v>
      </c>
      <c r="G42" s="17"/>
      <c r="H42" s="16">
        <f t="shared" si="1"/>
        <v>0</v>
      </c>
      <c r="I42" s="16"/>
      <c r="J42" s="16">
        <f t="shared" si="6"/>
        <v>0</v>
      </c>
      <c r="K42" s="16"/>
      <c r="L42" s="16">
        <f t="shared" si="7"/>
        <v>0</v>
      </c>
      <c r="M42" s="16"/>
      <c r="N42" s="16">
        <f t="shared" si="8"/>
        <v>0</v>
      </c>
      <c r="O42" s="16"/>
      <c r="P42" s="16">
        <f t="shared" si="9"/>
        <v>0</v>
      </c>
      <c r="Q42" s="16"/>
      <c r="R42" s="16">
        <f t="shared" si="10"/>
        <v>0</v>
      </c>
      <c r="S42" s="16"/>
      <c r="T42" s="16">
        <f t="shared" si="11"/>
        <v>0</v>
      </c>
      <c r="U42" s="16"/>
      <c r="V42" s="16">
        <f t="shared" si="12"/>
        <v>0</v>
      </c>
      <c r="W42" s="16"/>
      <c r="X42" s="16"/>
      <c r="Y42" s="16"/>
      <c r="Z42" s="16">
        <f t="shared" si="13"/>
        <v>0</v>
      </c>
      <c r="AA42" s="16"/>
      <c r="AB42" s="16">
        <f t="shared" si="14"/>
        <v>0</v>
      </c>
      <c r="AC42" s="16"/>
      <c r="AD42" s="16">
        <f t="shared" si="15"/>
        <v>0</v>
      </c>
      <c r="AE42" s="16"/>
      <c r="AF42" s="16">
        <f t="shared" si="16"/>
        <v>0</v>
      </c>
      <c r="AG42" s="16"/>
      <c r="AH42" s="16">
        <f t="shared" si="17"/>
        <v>0</v>
      </c>
      <c r="AI42" s="16"/>
      <c r="AJ42" s="16">
        <f t="shared" si="18"/>
        <v>0</v>
      </c>
      <c r="AK42" s="16"/>
      <c r="AL42" s="16">
        <f t="shared" si="19"/>
        <v>0</v>
      </c>
      <c r="AM42" s="16"/>
      <c r="AN42" s="16">
        <f t="shared" si="2"/>
        <v>0</v>
      </c>
      <c r="AO42" s="16"/>
      <c r="AP42" s="16">
        <f t="shared" si="20"/>
        <v>0</v>
      </c>
      <c r="AQ42" s="16"/>
      <c r="AR42" s="16">
        <f t="shared" si="21"/>
        <v>0</v>
      </c>
      <c r="AS42" s="16"/>
      <c r="AT42" s="16">
        <f t="shared" si="22"/>
        <v>0</v>
      </c>
      <c r="AU42" s="16"/>
      <c r="AV42" s="16">
        <f t="shared" si="23"/>
        <v>0</v>
      </c>
      <c r="AW42" s="16"/>
      <c r="AX42" s="16">
        <f t="shared" si="3"/>
        <v>0</v>
      </c>
      <c r="AY42" s="16"/>
      <c r="AZ42" s="16">
        <f t="shared" si="24"/>
        <v>0</v>
      </c>
      <c r="BA42" s="16"/>
      <c r="BB42" s="16">
        <f t="shared" si="25"/>
        <v>0</v>
      </c>
      <c r="BC42" s="11">
        <f t="shared" si="4"/>
        <v>0</v>
      </c>
      <c r="BD42" s="17"/>
      <c r="BE42" s="17"/>
      <c r="BF42" s="17"/>
      <c r="BG42" s="16">
        <f t="shared" si="5"/>
        <v>0</v>
      </c>
      <c r="BH42" s="17">
        <v>370</v>
      </c>
      <c r="BI42" s="16">
        <v>2546872</v>
      </c>
    </row>
    <row r="43" spans="1:61" ht="12.75">
      <c r="A43" s="38">
        <v>35904</v>
      </c>
      <c r="B43" s="39" t="s">
        <v>49</v>
      </c>
      <c r="C43" s="40" t="s">
        <v>168</v>
      </c>
      <c r="D43" s="40" t="s">
        <v>821</v>
      </c>
      <c r="E43" s="17">
        <v>300</v>
      </c>
      <c r="F43" s="16">
        <f t="shared" si="0"/>
        <v>104400</v>
      </c>
      <c r="G43" s="17">
        <v>300</v>
      </c>
      <c r="H43" s="16">
        <f t="shared" si="1"/>
        <v>88740</v>
      </c>
      <c r="I43" s="16"/>
      <c r="J43" s="16">
        <f t="shared" si="6"/>
        <v>0</v>
      </c>
      <c r="K43" s="16"/>
      <c r="L43" s="16">
        <f t="shared" si="7"/>
        <v>0</v>
      </c>
      <c r="M43" s="16">
        <v>400</v>
      </c>
      <c r="N43" s="16">
        <f t="shared" si="8"/>
        <v>994079.9999999999</v>
      </c>
      <c r="O43" s="16"/>
      <c r="P43" s="16">
        <f t="shared" si="9"/>
        <v>0</v>
      </c>
      <c r="Q43" s="16">
        <v>400</v>
      </c>
      <c r="R43" s="16">
        <f t="shared" si="10"/>
        <v>10904000</v>
      </c>
      <c r="S43" s="16">
        <v>600</v>
      </c>
      <c r="T43" s="16">
        <f t="shared" si="11"/>
        <v>1131000</v>
      </c>
      <c r="U43" s="16">
        <v>600</v>
      </c>
      <c r="V43" s="16">
        <f t="shared" si="12"/>
        <v>348384</v>
      </c>
      <c r="W43" s="16"/>
      <c r="X43" s="16"/>
      <c r="Y43" s="16"/>
      <c r="Z43" s="16">
        <f t="shared" si="13"/>
        <v>0</v>
      </c>
      <c r="AA43" s="16"/>
      <c r="AB43" s="16">
        <f t="shared" si="14"/>
        <v>0</v>
      </c>
      <c r="AC43" s="16">
        <v>600</v>
      </c>
      <c r="AD43" s="16">
        <f t="shared" si="15"/>
        <v>375840</v>
      </c>
      <c r="AE43" s="16">
        <v>800</v>
      </c>
      <c r="AF43" s="16">
        <f t="shared" si="16"/>
        <v>1632352</v>
      </c>
      <c r="AG43" s="16">
        <v>250</v>
      </c>
      <c r="AH43" s="16">
        <f t="shared" si="17"/>
        <v>1657930</v>
      </c>
      <c r="AI43" s="16">
        <v>600</v>
      </c>
      <c r="AJ43" s="16">
        <f t="shared" si="18"/>
        <v>278400</v>
      </c>
      <c r="AK43" s="16">
        <v>600</v>
      </c>
      <c r="AL43" s="16">
        <f t="shared" si="19"/>
        <v>38280</v>
      </c>
      <c r="AM43" s="16"/>
      <c r="AN43" s="16">
        <f t="shared" si="2"/>
        <v>0</v>
      </c>
      <c r="AO43" s="16">
        <v>400</v>
      </c>
      <c r="AP43" s="16">
        <f t="shared" si="20"/>
        <v>109040.00000000001</v>
      </c>
      <c r="AQ43" s="16">
        <v>400</v>
      </c>
      <c r="AR43" s="16">
        <f t="shared" si="21"/>
        <v>129920</v>
      </c>
      <c r="AS43" s="16">
        <v>800</v>
      </c>
      <c r="AT43" s="16">
        <f t="shared" si="22"/>
        <v>259040</v>
      </c>
      <c r="AU43" s="16">
        <v>400</v>
      </c>
      <c r="AV43" s="16">
        <f t="shared" si="23"/>
        <v>2586304</v>
      </c>
      <c r="AW43" s="16"/>
      <c r="AX43" s="16">
        <f t="shared" si="3"/>
        <v>0</v>
      </c>
      <c r="AY43" s="16"/>
      <c r="AZ43" s="16">
        <f t="shared" si="24"/>
        <v>0</v>
      </c>
      <c r="BA43" s="16">
        <v>300</v>
      </c>
      <c r="BB43" s="16">
        <f t="shared" si="25"/>
        <v>2142441</v>
      </c>
      <c r="BC43" s="11">
        <f t="shared" si="4"/>
        <v>22780151</v>
      </c>
      <c r="BD43" s="17"/>
      <c r="BE43" s="17"/>
      <c r="BF43" s="17">
        <v>200</v>
      </c>
      <c r="BG43" s="16">
        <f t="shared" si="5"/>
        <v>4600000</v>
      </c>
      <c r="BH43" s="17"/>
      <c r="BI43" s="17"/>
    </row>
    <row r="44" spans="1:61" ht="12.75">
      <c r="A44" s="38">
        <v>35908</v>
      </c>
      <c r="B44" s="39" t="s">
        <v>49</v>
      </c>
      <c r="C44" s="40" t="s">
        <v>170</v>
      </c>
      <c r="D44" s="40" t="s">
        <v>911</v>
      </c>
      <c r="E44" s="17"/>
      <c r="F44" s="16">
        <f t="shared" si="0"/>
        <v>0</v>
      </c>
      <c r="G44" s="17"/>
      <c r="H44" s="16">
        <f t="shared" si="1"/>
        <v>0</v>
      </c>
      <c r="I44" s="16"/>
      <c r="J44" s="16">
        <f t="shared" si="6"/>
        <v>0</v>
      </c>
      <c r="K44" s="16"/>
      <c r="L44" s="16">
        <f t="shared" si="7"/>
        <v>0</v>
      </c>
      <c r="M44" s="16"/>
      <c r="N44" s="16">
        <f t="shared" si="8"/>
        <v>0</v>
      </c>
      <c r="O44" s="16"/>
      <c r="P44" s="16">
        <f t="shared" si="9"/>
        <v>0</v>
      </c>
      <c r="Q44" s="16">
        <v>500</v>
      </c>
      <c r="R44" s="16">
        <f t="shared" si="10"/>
        <v>13630000</v>
      </c>
      <c r="S44" s="16"/>
      <c r="T44" s="16">
        <f t="shared" si="11"/>
        <v>0</v>
      </c>
      <c r="U44" s="16"/>
      <c r="V44" s="16">
        <f t="shared" si="12"/>
        <v>0</v>
      </c>
      <c r="W44" s="16"/>
      <c r="X44" s="16"/>
      <c r="Y44" s="16"/>
      <c r="Z44" s="16">
        <f t="shared" si="13"/>
        <v>0</v>
      </c>
      <c r="AA44" s="16"/>
      <c r="AB44" s="16">
        <f t="shared" si="14"/>
        <v>0</v>
      </c>
      <c r="AC44" s="16"/>
      <c r="AD44" s="16">
        <f t="shared" si="15"/>
        <v>0</v>
      </c>
      <c r="AE44" s="16">
        <v>500</v>
      </c>
      <c r="AF44" s="16">
        <f t="shared" si="16"/>
        <v>1020220</v>
      </c>
      <c r="AG44" s="16">
        <v>100</v>
      </c>
      <c r="AH44" s="16">
        <f t="shared" si="17"/>
        <v>663172</v>
      </c>
      <c r="AI44" s="16"/>
      <c r="AJ44" s="16">
        <f t="shared" si="18"/>
        <v>0</v>
      </c>
      <c r="AK44" s="16"/>
      <c r="AL44" s="16">
        <f t="shared" si="19"/>
        <v>0</v>
      </c>
      <c r="AM44" s="16"/>
      <c r="AN44" s="16">
        <f t="shared" si="2"/>
        <v>0</v>
      </c>
      <c r="AO44" s="16">
        <v>500</v>
      </c>
      <c r="AP44" s="16">
        <f t="shared" si="20"/>
        <v>136300</v>
      </c>
      <c r="AQ44" s="16">
        <v>500</v>
      </c>
      <c r="AR44" s="16">
        <f t="shared" si="21"/>
        <v>162400</v>
      </c>
      <c r="AS44" s="16">
        <v>500</v>
      </c>
      <c r="AT44" s="16">
        <f t="shared" si="22"/>
        <v>161900</v>
      </c>
      <c r="AU44" s="16"/>
      <c r="AV44" s="16">
        <f t="shared" si="23"/>
        <v>0</v>
      </c>
      <c r="AW44" s="16">
        <v>500</v>
      </c>
      <c r="AX44" s="16">
        <f t="shared" si="3"/>
        <v>3171065</v>
      </c>
      <c r="AY44" s="16"/>
      <c r="AZ44" s="16">
        <f t="shared" si="24"/>
        <v>0</v>
      </c>
      <c r="BA44" s="16">
        <v>500</v>
      </c>
      <c r="BB44" s="16">
        <f t="shared" si="25"/>
        <v>3570735</v>
      </c>
      <c r="BC44" s="11">
        <f t="shared" si="4"/>
        <v>22515792</v>
      </c>
      <c r="BD44" s="17"/>
      <c r="BE44" s="17"/>
      <c r="BF44" s="17">
        <v>100</v>
      </c>
      <c r="BG44" s="16">
        <f t="shared" si="5"/>
        <v>2300000</v>
      </c>
      <c r="BH44" s="17"/>
      <c r="BI44" s="17"/>
    </row>
    <row r="45" spans="1:61" ht="12.75">
      <c r="A45" s="38">
        <v>35920</v>
      </c>
      <c r="B45" s="39" t="s">
        <v>203</v>
      </c>
      <c r="C45" s="40" t="s">
        <v>204</v>
      </c>
      <c r="D45" s="40" t="s">
        <v>821</v>
      </c>
      <c r="E45" s="17"/>
      <c r="F45" s="16">
        <f t="shared" si="0"/>
        <v>0</v>
      </c>
      <c r="G45" s="17"/>
      <c r="H45" s="16">
        <f t="shared" si="1"/>
        <v>0</v>
      </c>
      <c r="I45" s="16"/>
      <c r="J45" s="16">
        <f t="shared" si="6"/>
        <v>0</v>
      </c>
      <c r="K45" s="16"/>
      <c r="L45" s="16">
        <f t="shared" si="7"/>
        <v>0</v>
      </c>
      <c r="M45" s="16"/>
      <c r="N45" s="16">
        <f t="shared" si="8"/>
        <v>0</v>
      </c>
      <c r="O45" s="16"/>
      <c r="P45" s="16">
        <f t="shared" si="9"/>
        <v>0</v>
      </c>
      <c r="Q45" s="16">
        <v>197</v>
      </c>
      <c r="R45" s="16">
        <f t="shared" si="10"/>
        <v>5370220</v>
      </c>
      <c r="S45" s="16"/>
      <c r="T45" s="16">
        <f t="shared" si="11"/>
        <v>0</v>
      </c>
      <c r="U45" s="16"/>
      <c r="V45" s="16">
        <f t="shared" si="12"/>
        <v>0</v>
      </c>
      <c r="W45" s="16"/>
      <c r="X45" s="16"/>
      <c r="Y45" s="16"/>
      <c r="Z45" s="16">
        <f t="shared" si="13"/>
        <v>0</v>
      </c>
      <c r="AA45" s="16"/>
      <c r="AB45" s="16">
        <f t="shared" si="14"/>
        <v>0</v>
      </c>
      <c r="AC45" s="16"/>
      <c r="AD45" s="16">
        <f t="shared" si="15"/>
        <v>0</v>
      </c>
      <c r="AE45" s="16"/>
      <c r="AF45" s="16">
        <f t="shared" si="16"/>
        <v>0</v>
      </c>
      <c r="AG45" s="16"/>
      <c r="AH45" s="16">
        <f t="shared" si="17"/>
        <v>0</v>
      </c>
      <c r="AI45" s="16"/>
      <c r="AJ45" s="16">
        <f t="shared" si="18"/>
        <v>0</v>
      </c>
      <c r="AK45" s="16"/>
      <c r="AL45" s="16">
        <f t="shared" si="19"/>
        <v>0</v>
      </c>
      <c r="AM45" s="16"/>
      <c r="AN45" s="16">
        <f t="shared" si="2"/>
        <v>0</v>
      </c>
      <c r="AO45" s="16"/>
      <c r="AP45" s="16">
        <f t="shared" si="20"/>
        <v>0</v>
      </c>
      <c r="AQ45" s="16"/>
      <c r="AR45" s="16">
        <f t="shared" si="21"/>
        <v>0</v>
      </c>
      <c r="AS45" s="16"/>
      <c r="AT45" s="16">
        <f t="shared" si="22"/>
        <v>0</v>
      </c>
      <c r="AU45" s="16"/>
      <c r="AV45" s="16">
        <f t="shared" si="23"/>
        <v>0</v>
      </c>
      <c r="AW45" s="16">
        <v>90</v>
      </c>
      <c r="AX45" s="16">
        <f t="shared" si="3"/>
        <v>570791.7</v>
      </c>
      <c r="AY45" s="16"/>
      <c r="AZ45" s="16">
        <f t="shared" si="24"/>
        <v>0</v>
      </c>
      <c r="BA45" s="16"/>
      <c r="BB45" s="16">
        <f t="shared" si="25"/>
        <v>0</v>
      </c>
      <c r="BC45" s="11">
        <f t="shared" si="4"/>
        <v>5941011.7</v>
      </c>
      <c r="BD45" s="17"/>
      <c r="BE45" s="17"/>
      <c r="BF45" s="17"/>
      <c r="BG45" s="16">
        <f t="shared" si="5"/>
        <v>0</v>
      </c>
      <c r="BH45" s="17"/>
      <c r="BI45" s="17"/>
    </row>
    <row r="46" spans="1:61" ht="12.75">
      <c r="A46" s="38">
        <v>35919</v>
      </c>
      <c r="B46" s="39" t="s">
        <v>59</v>
      </c>
      <c r="C46" s="40" t="s">
        <v>207</v>
      </c>
      <c r="D46" s="40" t="s">
        <v>821</v>
      </c>
      <c r="E46" s="17">
        <v>56</v>
      </c>
      <c r="F46" s="16">
        <f t="shared" si="0"/>
        <v>19488</v>
      </c>
      <c r="G46" s="17">
        <v>56</v>
      </c>
      <c r="H46" s="16">
        <f t="shared" si="1"/>
        <v>16564.8</v>
      </c>
      <c r="I46" s="16"/>
      <c r="J46" s="16">
        <f t="shared" si="6"/>
        <v>0</v>
      </c>
      <c r="K46" s="16"/>
      <c r="L46" s="16">
        <f t="shared" si="7"/>
        <v>0</v>
      </c>
      <c r="M46" s="16"/>
      <c r="N46" s="16">
        <f t="shared" si="8"/>
        <v>0</v>
      </c>
      <c r="O46" s="16"/>
      <c r="P46" s="16">
        <f t="shared" si="9"/>
        <v>0</v>
      </c>
      <c r="Q46" s="16"/>
      <c r="R46" s="16">
        <f t="shared" si="10"/>
        <v>0</v>
      </c>
      <c r="S46" s="16">
        <v>56</v>
      </c>
      <c r="T46" s="16">
        <f t="shared" si="11"/>
        <v>105560</v>
      </c>
      <c r="U46" s="16">
        <v>56</v>
      </c>
      <c r="V46" s="16">
        <f t="shared" si="12"/>
        <v>32515.84</v>
      </c>
      <c r="W46" s="16"/>
      <c r="X46" s="16"/>
      <c r="Y46" s="16"/>
      <c r="Z46" s="16">
        <f t="shared" si="13"/>
        <v>0</v>
      </c>
      <c r="AA46" s="16">
        <v>56</v>
      </c>
      <c r="AB46" s="16">
        <f t="shared" si="14"/>
        <v>812000</v>
      </c>
      <c r="AC46" s="16">
        <v>56</v>
      </c>
      <c r="AD46" s="16">
        <f t="shared" si="15"/>
        <v>35078.4</v>
      </c>
      <c r="AE46" s="16">
        <v>56</v>
      </c>
      <c r="AF46" s="16">
        <f t="shared" si="16"/>
        <v>114264.64</v>
      </c>
      <c r="AG46" s="16"/>
      <c r="AH46" s="16">
        <f t="shared" si="17"/>
        <v>0</v>
      </c>
      <c r="AI46" s="16">
        <v>56</v>
      </c>
      <c r="AJ46" s="16">
        <f t="shared" si="18"/>
        <v>25984</v>
      </c>
      <c r="AK46" s="16">
        <v>56</v>
      </c>
      <c r="AL46" s="16">
        <f t="shared" si="19"/>
        <v>3572.7999999999997</v>
      </c>
      <c r="AM46" s="16"/>
      <c r="AN46" s="16">
        <f t="shared" si="2"/>
        <v>0</v>
      </c>
      <c r="AO46" s="16">
        <v>56</v>
      </c>
      <c r="AP46" s="16">
        <f t="shared" si="20"/>
        <v>15265.600000000002</v>
      </c>
      <c r="AQ46" s="16">
        <v>56</v>
      </c>
      <c r="AR46" s="16">
        <f t="shared" si="21"/>
        <v>18188.8</v>
      </c>
      <c r="AS46" s="16">
        <v>56</v>
      </c>
      <c r="AT46" s="16">
        <f t="shared" si="22"/>
        <v>18132.8</v>
      </c>
      <c r="AU46" s="16">
        <v>56</v>
      </c>
      <c r="AV46" s="16">
        <f t="shared" si="23"/>
        <v>362082.56</v>
      </c>
      <c r="AW46" s="16"/>
      <c r="AX46" s="16">
        <f t="shared" si="3"/>
        <v>0</v>
      </c>
      <c r="AY46" s="16"/>
      <c r="AZ46" s="16">
        <f t="shared" si="24"/>
        <v>0</v>
      </c>
      <c r="BA46" s="16">
        <v>56</v>
      </c>
      <c r="BB46" s="16">
        <f t="shared" si="25"/>
        <v>399922.32</v>
      </c>
      <c r="BC46" s="11">
        <f t="shared" si="4"/>
        <v>1978620.5600000003</v>
      </c>
      <c r="BD46" s="17"/>
      <c r="BE46" s="17"/>
      <c r="BF46" s="17">
        <v>56</v>
      </c>
      <c r="BG46" s="16">
        <f t="shared" si="5"/>
        <v>1288000</v>
      </c>
      <c r="BH46" s="17"/>
      <c r="BI46" s="17"/>
    </row>
    <row r="47" spans="1:61" ht="12.75">
      <c r="A47" s="38">
        <v>35922</v>
      </c>
      <c r="B47" s="39" t="s">
        <v>59</v>
      </c>
      <c r="C47" s="40" t="s">
        <v>215</v>
      </c>
      <c r="D47" s="40" t="s">
        <v>821</v>
      </c>
      <c r="E47" s="17">
        <v>288</v>
      </c>
      <c r="F47" s="16">
        <f t="shared" si="0"/>
        <v>100224</v>
      </c>
      <c r="G47" s="17">
        <v>288</v>
      </c>
      <c r="H47" s="16">
        <f t="shared" si="1"/>
        <v>85190.40000000001</v>
      </c>
      <c r="I47" s="16"/>
      <c r="J47" s="16">
        <f t="shared" si="6"/>
        <v>0</v>
      </c>
      <c r="K47" s="16"/>
      <c r="L47" s="16">
        <f t="shared" si="7"/>
        <v>0</v>
      </c>
      <c r="M47" s="16"/>
      <c r="N47" s="16">
        <f t="shared" si="8"/>
        <v>0</v>
      </c>
      <c r="O47" s="16"/>
      <c r="P47" s="16">
        <f t="shared" si="9"/>
        <v>0</v>
      </c>
      <c r="Q47" s="16"/>
      <c r="R47" s="16">
        <f t="shared" si="10"/>
        <v>0</v>
      </c>
      <c r="S47" s="16">
        <v>288</v>
      </c>
      <c r="T47" s="16">
        <f t="shared" si="11"/>
        <v>542880</v>
      </c>
      <c r="U47" s="16">
        <v>288</v>
      </c>
      <c r="V47" s="16">
        <f t="shared" si="12"/>
        <v>167224.32</v>
      </c>
      <c r="W47" s="16"/>
      <c r="X47" s="16"/>
      <c r="Y47" s="16"/>
      <c r="Z47" s="16">
        <f t="shared" si="13"/>
        <v>0</v>
      </c>
      <c r="AA47" s="16"/>
      <c r="AB47" s="16">
        <f t="shared" si="14"/>
        <v>0</v>
      </c>
      <c r="AC47" s="16">
        <v>288</v>
      </c>
      <c r="AD47" s="16">
        <f t="shared" si="15"/>
        <v>180403.19999999998</v>
      </c>
      <c r="AE47" s="16"/>
      <c r="AF47" s="16">
        <f t="shared" si="16"/>
        <v>0</v>
      </c>
      <c r="AG47" s="16"/>
      <c r="AH47" s="16">
        <f t="shared" si="17"/>
        <v>0</v>
      </c>
      <c r="AI47" s="16">
        <v>288</v>
      </c>
      <c r="AJ47" s="16">
        <f t="shared" si="18"/>
        <v>133632</v>
      </c>
      <c r="AK47" s="16">
        <v>288</v>
      </c>
      <c r="AL47" s="16">
        <f t="shared" si="19"/>
        <v>18374.399999999998</v>
      </c>
      <c r="AM47" s="16"/>
      <c r="AN47" s="16">
        <f t="shared" si="2"/>
        <v>0</v>
      </c>
      <c r="AO47" s="16"/>
      <c r="AP47" s="16">
        <f t="shared" si="20"/>
        <v>0</v>
      </c>
      <c r="AQ47" s="16"/>
      <c r="AR47" s="16">
        <f t="shared" si="21"/>
        <v>0</v>
      </c>
      <c r="AS47" s="16"/>
      <c r="AT47" s="16">
        <f t="shared" si="22"/>
        <v>0</v>
      </c>
      <c r="AU47" s="16"/>
      <c r="AV47" s="16">
        <f t="shared" si="23"/>
        <v>0</v>
      </c>
      <c r="AW47" s="16">
        <v>100</v>
      </c>
      <c r="AX47" s="16">
        <f t="shared" si="3"/>
        <v>634213</v>
      </c>
      <c r="AY47" s="16"/>
      <c r="AZ47" s="16">
        <f t="shared" si="24"/>
        <v>0</v>
      </c>
      <c r="BA47" s="16"/>
      <c r="BB47" s="16">
        <f t="shared" si="25"/>
        <v>0</v>
      </c>
      <c r="BC47" s="11">
        <f t="shared" si="4"/>
        <v>1862141.3199999998</v>
      </c>
      <c r="BD47" s="17">
        <v>1100</v>
      </c>
      <c r="BE47" s="17">
        <f>+BD47*440.8</f>
        <v>484880</v>
      </c>
      <c r="BF47" s="17">
        <v>288</v>
      </c>
      <c r="BG47" s="16">
        <f t="shared" si="5"/>
        <v>6624000</v>
      </c>
      <c r="BH47" s="17"/>
      <c r="BI47" s="17"/>
    </row>
    <row r="48" spans="1:61" ht="22.5">
      <c r="A48" s="38">
        <v>35921</v>
      </c>
      <c r="B48" s="39" t="s">
        <v>829</v>
      </c>
      <c r="C48" s="40" t="s">
        <v>117</v>
      </c>
      <c r="D48" s="40" t="s">
        <v>821</v>
      </c>
      <c r="E48" s="17">
        <v>50</v>
      </c>
      <c r="F48" s="16">
        <f t="shared" si="0"/>
        <v>17400</v>
      </c>
      <c r="G48" s="17">
        <v>50</v>
      </c>
      <c r="H48" s="16">
        <f t="shared" si="1"/>
        <v>14790</v>
      </c>
      <c r="I48" s="16"/>
      <c r="J48" s="16">
        <f t="shared" si="6"/>
        <v>0</v>
      </c>
      <c r="K48" s="16">
        <v>4</v>
      </c>
      <c r="L48" s="16">
        <f t="shared" si="7"/>
        <v>27078.12</v>
      </c>
      <c r="M48" s="16"/>
      <c r="N48" s="16">
        <f t="shared" si="8"/>
        <v>0</v>
      </c>
      <c r="O48" s="16"/>
      <c r="P48" s="16">
        <f t="shared" si="9"/>
        <v>0</v>
      </c>
      <c r="Q48" s="16"/>
      <c r="R48" s="16">
        <f t="shared" si="10"/>
        <v>0</v>
      </c>
      <c r="S48" s="16">
        <v>100</v>
      </c>
      <c r="T48" s="16">
        <f t="shared" si="11"/>
        <v>188500</v>
      </c>
      <c r="U48" s="16">
        <v>100</v>
      </c>
      <c r="V48" s="16">
        <f t="shared" si="12"/>
        <v>58064</v>
      </c>
      <c r="W48" s="16"/>
      <c r="X48" s="16"/>
      <c r="Y48" s="16"/>
      <c r="Z48" s="16">
        <f t="shared" si="13"/>
        <v>0</v>
      </c>
      <c r="AA48" s="16">
        <v>100</v>
      </c>
      <c r="AB48" s="16">
        <f t="shared" si="14"/>
        <v>1450000</v>
      </c>
      <c r="AC48" s="16">
        <v>100</v>
      </c>
      <c r="AD48" s="16">
        <f t="shared" si="15"/>
        <v>62640</v>
      </c>
      <c r="AE48" s="16">
        <v>100</v>
      </c>
      <c r="AF48" s="16">
        <f t="shared" si="16"/>
        <v>204044</v>
      </c>
      <c r="AG48" s="16"/>
      <c r="AH48" s="16">
        <f t="shared" si="17"/>
        <v>0</v>
      </c>
      <c r="AI48" s="16">
        <v>100</v>
      </c>
      <c r="AJ48" s="16">
        <f t="shared" si="18"/>
        <v>46400</v>
      </c>
      <c r="AK48" s="16">
        <v>100</v>
      </c>
      <c r="AL48" s="16">
        <f t="shared" si="19"/>
        <v>6380</v>
      </c>
      <c r="AM48" s="16">
        <v>4</v>
      </c>
      <c r="AN48" s="16">
        <f t="shared" si="2"/>
        <v>1020069.24</v>
      </c>
      <c r="AO48" s="16">
        <v>100</v>
      </c>
      <c r="AP48" s="16">
        <f t="shared" si="20"/>
        <v>27260.000000000004</v>
      </c>
      <c r="AQ48" s="16">
        <v>100</v>
      </c>
      <c r="AR48" s="16">
        <f t="shared" si="21"/>
        <v>32480</v>
      </c>
      <c r="AS48" s="16"/>
      <c r="AT48" s="16">
        <f t="shared" si="22"/>
        <v>0</v>
      </c>
      <c r="AU48" s="16"/>
      <c r="AV48" s="16">
        <f t="shared" si="23"/>
        <v>0</v>
      </c>
      <c r="AW48" s="16"/>
      <c r="AX48" s="16">
        <f t="shared" si="3"/>
        <v>0</v>
      </c>
      <c r="AY48" s="16"/>
      <c r="AZ48" s="16">
        <f t="shared" si="24"/>
        <v>0</v>
      </c>
      <c r="BA48" s="16">
        <v>100</v>
      </c>
      <c r="BB48" s="16">
        <f t="shared" si="25"/>
        <v>714147</v>
      </c>
      <c r="BC48" s="11">
        <f t="shared" si="4"/>
        <v>3869252.3600000003</v>
      </c>
      <c r="BD48" s="17"/>
      <c r="BE48" s="17"/>
      <c r="BF48" s="17">
        <v>50</v>
      </c>
      <c r="BG48" s="16">
        <f t="shared" si="5"/>
        <v>1150000</v>
      </c>
      <c r="BH48" s="17"/>
      <c r="BI48" s="17"/>
    </row>
    <row r="49" spans="1:61" ht="22.5">
      <c r="A49" s="38">
        <v>35923</v>
      </c>
      <c r="B49" s="39" t="s">
        <v>829</v>
      </c>
      <c r="C49" s="40" t="s">
        <v>222</v>
      </c>
      <c r="D49" s="40" t="s">
        <v>107</v>
      </c>
      <c r="E49" s="17">
        <v>822</v>
      </c>
      <c r="F49" s="16">
        <f t="shared" si="0"/>
        <v>286056</v>
      </c>
      <c r="G49" s="17">
        <v>822</v>
      </c>
      <c r="H49" s="16">
        <f t="shared" si="1"/>
        <v>243147.6</v>
      </c>
      <c r="I49" s="16">
        <v>274</v>
      </c>
      <c r="J49" s="16">
        <f t="shared" si="6"/>
        <v>1144224</v>
      </c>
      <c r="K49" s="16"/>
      <c r="L49" s="16">
        <f t="shared" si="7"/>
        <v>0</v>
      </c>
      <c r="M49" s="16"/>
      <c r="N49" s="16">
        <f t="shared" si="8"/>
        <v>0</v>
      </c>
      <c r="O49" s="16"/>
      <c r="P49" s="16">
        <f t="shared" si="9"/>
        <v>0</v>
      </c>
      <c r="Q49" s="16">
        <v>822</v>
      </c>
      <c r="R49" s="16">
        <f t="shared" si="10"/>
        <v>22407720</v>
      </c>
      <c r="S49" s="16">
        <v>822</v>
      </c>
      <c r="T49" s="16">
        <f t="shared" si="11"/>
        <v>1549470</v>
      </c>
      <c r="U49" s="16">
        <v>822</v>
      </c>
      <c r="V49" s="16">
        <f t="shared" si="12"/>
        <v>477286.08</v>
      </c>
      <c r="W49" s="16"/>
      <c r="X49" s="16"/>
      <c r="Y49" s="16"/>
      <c r="Z49" s="16">
        <f t="shared" si="13"/>
        <v>0</v>
      </c>
      <c r="AA49" s="16"/>
      <c r="AB49" s="16">
        <f t="shared" si="14"/>
        <v>0</v>
      </c>
      <c r="AC49" s="16">
        <v>822</v>
      </c>
      <c r="AD49" s="16">
        <f t="shared" si="15"/>
        <v>514900.8</v>
      </c>
      <c r="AE49" s="16">
        <v>822</v>
      </c>
      <c r="AF49" s="16">
        <f t="shared" si="16"/>
        <v>1677241.68</v>
      </c>
      <c r="AG49" s="16">
        <v>274</v>
      </c>
      <c r="AH49" s="16">
        <f t="shared" si="17"/>
        <v>1817091.28</v>
      </c>
      <c r="AI49" s="16"/>
      <c r="AJ49" s="16">
        <f t="shared" si="18"/>
        <v>0</v>
      </c>
      <c r="AK49" s="16">
        <v>822</v>
      </c>
      <c r="AL49" s="16">
        <f t="shared" si="19"/>
        <v>52443.6</v>
      </c>
      <c r="AM49" s="16"/>
      <c r="AN49" s="16">
        <f t="shared" si="2"/>
        <v>0</v>
      </c>
      <c r="AO49" s="16">
        <v>822</v>
      </c>
      <c r="AP49" s="16">
        <f t="shared" si="20"/>
        <v>224077.2</v>
      </c>
      <c r="AQ49" s="16">
        <v>822</v>
      </c>
      <c r="AR49" s="16">
        <f t="shared" si="21"/>
        <v>266985.60000000003</v>
      </c>
      <c r="AS49" s="16">
        <v>822</v>
      </c>
      <c r="AT49" s="16">
        <f t="shared" si="22"/>
        <v>266163.60000000003</v>
      </c>
      <c r="AU49" s="16">
        <v>822</v>
      </c>
      <c r="AV49" s="16">
        <f t="shared" si="23"/>
        <v>5314854.72</v>
      </c>
      <c r="AW49" s="16">
        <v>822</v>
      </c>
      <c r="AX49" s="16">
        <f t="shared" si="3"/>
        <v>5213230.86</v>
      </c>
      <c r="AY49" s="16"/>
      <c r="AZ49" s="16">
        <f t="shared" si="24"/>
        <v>0</v>
      </c>
      <c r="BA49" s="16"/>
      <c r="BB49" s="16">
        <f t="shared" si="25"/>
        <v>0</v>
      </c>
      <c r="BC49" s="11">
        <f t="shared" si="4"/>
        <v>41454893.02</v>
      </c>
      <c r="BD49" s="17"/>
      <c r="BE49" s="17"/>
      <c r="BF49" s="17">
        <v>274</v>
      </c>
      <c r="BG49" s="16">
        <f t="shared" si="5"/>
        <v>6302000</v>
      </c>
      <c r="BH49" s="17"/>
      <c r="BI49" s="17"/>
    </row>
    <row r="50" spans="1:61" ht="12.75">
      <c r="A50" s="38">
        <v>35923</v>
      </c>
      <c r="B50" s="39" t="s">
        <v>129</v>
      </c>
      <c r="C50" s="40" t="s">
        <v>261</v>
      </c>
      <c r="D50" s="40" t="s">
        <v>891</v>
      </c>
      <c r="E50" s="17"/>
      <c r="F50" s="16">
        <f t="shared" si="0"/>
        <v>0</v>
      </c>
      <c r="G50" s="17"/>
      <c r="H50" s="16">
        <f t="shared" si="1"/>
        <v>0</v>
      </c>
      <c r="I50" s="16"/>
      <c r="J50" s="16">
        <f t="shared" si="6"/>
        <v>0</v>
      </c>
      <c r="K50" s="16"/>
      <c r="L50" s="16">
        <f t="shared" si="7"/>
        <v>0</v>
      </c>
      <c r="M50" s="16"/>
      <c r="N50" s="16">
        <f t="shared" si="8"/>
        <v>0</v>
      </c>
      <c r="O50" s="16"/>
      <c r="P50" s="16">
        <f t="shared" si="9"/>
        <v>0</v>
      </c>
      <c r="Q50" s="16">
        <v>240</v>
      </c>
      <c r="R50" s="16">
        <f t="shared" si="10"/>
        <v>6542400</v>
      </c>
      <c r="S50" s="16"/>
      <c r="T50" s="16">
        <f t="shared" si="11"/>
        <v>0</v>
      </c>
      <c r="U50" s="16"/>
      <c r="V50" s="16">
        <f t="shared" si="12"/>
        <v>0</v>
      </c>
      <c r="W50" s="16"/>
      <c r="X50" s="16"/>
      <c r="Y50" s="16"/>
      <c r="Z50" s="16">
        <f t="shared" si="13"/>
        <v>0</v>
      </c>
      <c r="AA50" s="16"/>
      <c r="AB50" s="16"/>
      <c r="AC50" s="16"/>
      <c r="AD50" s="16"/>
      <c r="AE50" s="16"/>
      <c r="AF50" s="16"/>
      <c r="AG50" s="16"/>
      <c r="AH50" s="16">
        <f t="shared" si="17"/>
        <v>0</v>
      </c>
      <c r="AI50" s="16"/>
      <c r="AJ50" s="16">
        <f t="shared" si="18"/>
        <v>0</v>
      </c>
      <c r="AK50" s="16"/>
      <c r="AL50" s="16">
        <f t="shared" si="19"/>
        <v>0</v>
      </c>
      <c r="AM50" s="16"/>
      <c r="AN50" s="16">
        <f t="shared" si="2"/>
        <v>0</v>
      </c>
      <c r="AO50" s="16"/>
      <c r="AP50" s="16">
        <f t="shared" si="20"/>
        <v>0</v>
      </c>
      <c r="AQ50" s="16"/>
      <c r="AR50" s="16">
        <f t="shared" si="21"/>
        <v>0</v>
      </c>
      <c r="AS50" s="16"/>
      <c r="AT50" s="16">
        <f t="shared" si="22"/>
        <v>0</v>
      </c>
      <c r="AU50" s="16"/>
      <c r="AV50" s="16">
        <f t="shared" si="23"/>
        <v>0</v>
      </c>
      <c r="AW50" s="16"/>
      <c r="AX50" s="16">
        <f t="shared" si="3"/>
        <v>0</v>
      </c>
      <c r="AY50" s="16"/>
      <c r="AZ50" s="16">
        <f t="shared" si="24"/>
        <v>0</v>
      </c>
      <c r="BA50" s="16"/>
      <c r="BB50" s="16">
        <f t="shared" si="25"/>
        <v>0</v>
      </c>
      <c r="BC50" s="11">
        <f t="shared" si="4"/>
        <v>6542400</v>
      </c>
      <c r="BD50" s="17"/>
      <c r="BE50" s="17"/>
      <c r="BF50" s="17">
        <v>120</v>
      </c>
      <c r="BG50" s="16">
        <f t="shared" si="5"/>
        <v>2760000</v>
      </c>
      <c r="BH50" s="17"/>
      <c r="BI50" s="17"/>
    </row>
    <row r="51" spans="1:61" ht="12.75">
      <c r="A51" s="38">
        <v>35922</v>
      </c>
      <c r="B51" s="39" t="s">
        <v>13</v>
      </c>
      <c r="C51" s="40" t="s">
        <v>135</v>
      </c>
      <c r="D51" s="40" t="s">
        <v>821</v>
      </c>
      <c r="E51" s="17">
        <v>100</v>
      </c>
      <c r="F51" s="16">
        <f t="shared" si="0"/>
        <v>34800</v>
      </c>
      <c r="G51" s="17">
        <v>100</v>
      </c>
      <c r="H51" s="16">
        <f t="shared" si="1"/>
        <v>29580</v>
      </c>
      <c r="I51" s="16"/>
      <c r="J51" s="16">
        <f t="shared" si="6"/>
        <v>0</v>
      </c>
      <c r="K51" s="16"/>
      <c r="L51" s="16">
        <f t="shared" si="7"/>
        <v>0</v>
      </c>
      <c r="M51" s="16"/>
      <c r="N51" s="16">
        <f t="shared" si="8"/>
        <v>0</v>
      </c>
      <c r="O51" s="16"/>
      <c r="P51" s="16">
        <f t="shared" si="9"/>
        <v>0</v>
      </c>
      <c r="Q51" s="16">
        <v>100</v>
      </c>
      <c r="R51" s="16">
        <f t="shared" si="10"/>
        <v>2726000</v>
      </c>
      <c r="S51" s="16">
        <v>100</v>
      </c>
      <c r="T51" s="16">
        <f t="shared" si="11"/>
        <v>188500</v>
      </c>
      <c r="U51" s="16">
        <v>100</v>
      </c>
      <c r="V51" s="16">
        <f t="shared" si="12"/>
        <v>58064</v>
      </c>
      <c r="W51" s="16"/>
      <c r="X51" s="16"/>
      <c r="Y51" s="16"/>
      <c r="Z51" s="16">
        <f t="shared" si="13"/>
        <v>0</v>
      </c>
      <c r="AA51" s="16"/>
      <c r="AB51" s="16">
        <f t="shared" si="14"/>
        <v>0</v>
      </c>
      <c r="AC51" s="16">
        <v>100</v>
      </c>
      <c r="AD51" s="16">
        <f t="shared" si="15"/>
        <v>62640</v>
      </c>
      <c r="AE51" s="16">
        <v>100</v>
      </c>
      <c r="AF51" s="16">
        <f t="shared" si="16"/>
        <v>204044</v>
      </c>
      <c r="AG51" s="16">
        <v>100</v>
      </c>
      <c r="AH51" s="16">
        <f t="shared" si="17"/>
        <v>663172</v>
      </c>
      <c r="AI51" s="16"/>
      <c r="AJ51" s="16">
        <f t="shared" si="18"/>
        <v>0</v>
      </c>
      <c r="AK51" s="16">
        <v>100</v>
      </c>
      <c r="AL51" s="16">
        <f t="shared" si="19"/>
        <v>6380</v>
      </c>
      <c r="AM51" s="16"/>
      <c r="AN51" s="16">
        <f t="shared" si="2"/>
        <v>0</v>
      </c>
      <c r="AO51" s="16">
        <v>100</v>
      </c>
      <c r="AP51" s="16">
        <f t="shared" si="20"/>
        <v>27260.000000000004</v>
      </c>
      <c r="AQ51" s="16">
        <v>100</v>
      </c>
      <c r="AR51" s="16">
        <f t="shared" si="21"/>
        <v>32480</v>
      </c>
      <c r="AS51" s="16">
        <v>100</v>
      </c>
      <c r="AT51" s="16">
        <f t="shared" si="22"/>
        <v>32380</v>
      </c>
      <c r="AU51" s="16"/>
      <c r="AV51" s="16">
        <f t="shared" si="23"/>
        <v>0</v>
      </c>
      <c r="AW51" s="16"/>
      <c r="AX51" s="16">
        <f t="shared" si="3"/>
        <v>0</v>
      </c>
      <c r="AY51" s="16"/>
      <c r="AZ51" s="16">
        <f t="shared" si="24"/>
        <v>0</v>
      </c>
      <c r="BA51" s="16"/>
      <c r="BB51" s="16">
        <f t="shared" si="25"/>
        <v>0</v>
      </c>
      <c r="BC51" s="11">
        <f t="shared" si="4"/>
        <v>4065300</v>
      </c>
      <c r="BD51" s="17"/>
      <c r="BE51" s="17"/>
      <c r="BF51" s="17">
        <v>100</v>
      </c>
      <c r="BG51" s="16">
        <f t="shared" si="5"/>
        <v>2300000</v>
      </c>
      <c r="BH51" s="17"/>
      <c r="BI51" s="17"/>
    </row>
    <row r="52" spans="1:61" ht="12.75">
      <c r="A52" s="38">
        <v>35934</v>
      </c>
      <c r="B52" s="39" t="s">
        <v>13</v>
      </c>
      <c r="C52" s="40" t="s">
        <v>270</v>
      </c>
      <c r="D52" s="40" t="s">
        <v>821</v>
      </c>
      <c r="E52" s="17">
        <v>240</v>
      </c>
      <c r="F52" s="16">
        <f t="shared" si="0"/>
        <v>83520</v>
      </c>
      <c r="G52" s="17">
        <v>240</v>
      </c>
      <c r="H52" s="16">
        <f t="shared" si="1"/>
        <v>70992</v>
      </c>
      <c r="I52" s="16"/>
      <c r="J52" s="16">
        <f t="shared" si="6"/>
        <v>0</v>
      </c>
      <c r="K52" s="16"/>
      <c r="L52" s="16">
        <f t="shared" si="7"/>
        <v>0</v>
      </c>
      <c r="M52" s="16"/>
      <c r="N52" s="16">
        <f t="shared" si="8"/>
        <v>0</v>
      </c>
      <c r="O52" s="16"/>
      <c r="P52" s="16">
        <f t="shared" si="9"/>
        <v>0</v>
      </c>
      <c r="Q52" s="16">
        <v>240</v>
      </c>
      <c r="R52" s="16">
        <f t="shared" si="10"/>
        <v>6542400</v>
      </c>
      <c r="S52" s="16">
        <v>240</v>
      </c>
      <c r="T52" s="16">
        <f t="shared" si="11"/>
        <v>452400</v>
      </c>
      <c r="U52" s="16">
        <v>240</v>
      </c>
      <c r="V52" s="16">
        <f t="shared" si="12"/>
        <v>139353.6</v>
      </c>
      <c r="W52" s="16"/>
      <c r="X52" s="16"/>
      <c r="Y52" s="16"/>
      <c r="Z52" s="16">
        <f t="shared" si="13"/>
        <v>0</v>
      </c>
      <c r="AA52" s="16"/>
      <c r="AB52" s="16">
        <f t="shared" si="14"/>
        <v>0</v>
      </c>
      <c r="AC52" s="16">
        <v>240</v>
      </c>
      <c r="AD52" s="16">
        <f t="shared" si="15"/>
        <v>150336</v>
      </c>
      <c r="AE52" s="16"/>
      <c r="AF52" s="16">
        <f t="shared" si="16"/>
        <v>0</v>
      </c>
      <c r="AG52" s="16"/>
      <c r="AH52" s="16">
        <f t="shared" si="17"/>
        <v>0</v>
      </c>
      <c r="AI52" s="16"/>
      <c r="AJ52" s="16">
        <f t="shared" si="18"/>
        <v>0</v>
      </c>
      <c r="AK52" s="16">
        <v>240</v>
      </c>
      <c r="AL52" s="16">
        <f t="shared" si="19"/>
        <v>15312</v>
      </c>
      <c r="AM52" s="16"/>
      <c r="AN52" s="16">
        <f t="shared" si="2"/>
        <v>0</v>
      </c>
      <c r="AO52" s="16"/>
      <c r="AP52" s="16">
        <f t="shared" si="20"/>
        <v>0</v>
      </c>
      <c r="AQ52" s="16"/>
      <c r="AR52" s="16">
        <f t="shared" si="21"/>
        <v>0</v>
      </c>
      <c r="AS52" s="16"/>
      <c r="AT52" s="16">
        <f t="shared" si="22"/>
        <v>0</v>
      </c>
      <c r="AU52" s="16">
        <v>240</v>
      </c>
      <c r="AV52" s="16">
        <f t="shared" si="23"/>
        <v>1551782.4000000001</v>
      </c>
      <c r="AW52" s="16">
        <v>240</v>
      </c>
      <c r="AX52" s="16">
        <f t="shared" si="3"/>
        <v>1522111.2</v>
      </c>
      <c r="AY52" s="16"/>
      <c r="AZ52" s="16">
        <f t="shared" si="24"/>
        <v>0</v>
      </c>
      <c r="BA52" s="16">
        <v>240</v>
      </c>
      <c r="BB52" s="16">
        <f t="shared" si="25"/>
        <v>1713952.8</v>
      </c>
      <c r="BC52" s="11">
        <f t="shared" si="4"/>
        <v>12242160</v>
      </c>
      <c r="BD52" s="17"/>
      <c r="BE52" s="17"/>
      <c r="BF52" s="17">
        <v>80</v>
      </c>
      <c r="BG52" s="16">
        <f t="shared" si="5"/>
        <v>1840000</v>
      </c>
      <c r="BH52" s="17"/>
      <c r="BI52" s="17"/>
    </row>
    <row r="53" spans="1:61" ht="12.75">
      <c r="A53" s="38">
        <v>35926</v>
      </c>
      <c r="B53" s="39" t="s">
        <v>13</v>
      </c>
      <c r="C53" s="40" t="s">
        <v>273</v>
      </c>
      <c r="D53" s="40" t="s">
        <v>821</v>
      </c>
      <c r="E53" s="17">
        <v>276</v>
      </c>
      <c r="F53" s="16">
        <f t="shared" si="0"/>
        <v>96048</v>
      </c>
      <c r="G53" s="17">
        <v>276</v>
      </c>
      <c r="H53" s="16">
        <f t="shared" si="1"/>
        <v>81640.8</v>
      </c>
      <c r="I53" s="16"/>
      <c r="J53" s="16">
        <f t="shared" si="6"/>
        <v>0</v>
      </c>
      <c r="K53" s="16"/>
      <c r="L53" s="16">
        <f t="shared" si="7"/>
        <v>0</v>
      </c>
      <c r="M53" s="16"/>
      <c r="N53" s="16">
        <f t="shared" si="8"/>
        <v>0</v>
      </c>
      <c r="O53" s="16"/>
      <c r="P53" s="16">
        <f t="shared" si="9"/>
        <v>0</v>
      </c>
      <c r="Q53" s="16">
        <v>276</v>
      </c>
      <c r="R53" s="16">
        <f t="shared" si="10"/>
        <v>7523760</v>
      </c>
      <c r="S53" s="16">
        <v>276</v>
      </c>
      <c r="T53" s="16">
        <f t="shared" si="11"/>
        <v>520260</v>
      </c>
      <c r="U53" s="16">
        <v>276</v>
      </c>
      <c r="V53" s="16">
        <f t="shared" si="12"/>
        <v>160256.63999999998</v>
      </c>
      <c r="W53" s="16"/>
      <c r="X53" s="16"/>
      <c r="Y53" s="16"/>
      <c r="Z53" s="16">
        <f t="shared" si="13"/>
        <v>0</v>
      </c>
      <c r="AA53" s="16"/>
      <c r="AB53" s="16">
        <f t="shared" si="14"/>
        <v>0</v>
      </c>
      <c r="AC53" s="16">
        <v>276</v>
      </c>
      <c r="AD53" s="16">
        <f t="shared" si="15"/>
        <v>172886.4</v>
      </c>
      <c r="AE53" s="16"/>
      <c r="AF53" s="16">
        <f t="shared" si="16"/>
        <v>0</v>
      </c>
      <c r="AG53" s="16"/>
      <c r="AH53" s="16">
        <f t="shared" si="17"/>
        <v>0</v>
      </c>
      <c r="AI53" s="16"/>
      <c r="AJ53" s="16">
        <f t="shared" si="18"/>
        <v>0</v>
      </c>
      <c r="AK53" s="16">
        <v>276</v>
      </c>
      <c r="AL53" s="16">
        <f t="shared" si="19"/>
        <v>17608.8</v>
      </c>
      <c r="AM53" s="16"/>
      <c r="AN53" s="16">
        <f t="shared" si="2"/>
        <v>0</v>
      </c>
      <c r="AO53" s="16"/>
      <c r="AP53" s="16">
        <f t="shared" si="20"/>
        <v>0</v>
      </c>
      <c r="AQ53" s="16"/>
      <c r="AR53" s="16">
        <f t="shared" si="21"/>
        <v>0</v>
      </c>
      <c r="AS53" s="16"/>
      <c r="AT53" s="16">
        <f t="shared" si="22"/>
        <v>0</v>
      </c>
      <c r="AU53" s="16">
        <v>276</v>
      </c>
      <c r="AV53" s="16">
        <f t="shared" si="23"/>
        <v>1784549.76</v>
      </c>
      <c r="AW53" s="16">
        <v>276</v>
      </c>
      <c r="AX53" s="16">
        <f t="shared" si="3"/>
        <v>1750427.8800000001</v>
      </c>
      <c r="AY53" s="16"/>
      <c r="AZ53" s="16">
        <f t="shared" si="24"/>
        <v>0</v>
      </c>
      <c r="BA53" s="16">
        <v>276</v>
      </c>
      <c r="BB53" s="16">
        <f t="shared" si="25"/>
        <v>1971045.72</v>
      </c>
      <c r="BC53" s="11">
        <f t="shared" si="4"/>
        <v>14078484.000000002</v>
      </c>
      <c r="BD53" s="17"/>
      <c r="BE53" s="17"/>
      <c r="BF53" s="17">
        <v>100</v>
      </c>
      <c r="BG53" s="16">
        <f t="shared" si="5"/>
        <v>2300000</v>
      </c>
      <c r="BH53" s="17"/>
      <c r="BI53" s="17"/>
    </row>
    <row r="54" spans="1:61" ht="22.5">
      <c r="A54" s="38">
        <v>35921</v>
      </c>
      <c r="B54" s="39" t="s">
        <v>16</v>
      </c>
      <c r="C54" s="40" t="s">
        <v>69</v>
      </c>
      <c r="D54" s="40" t="s">
        <v>821</v>
      </c>
      <c r="E54" s="17">
        <v>200</v>
      </c>
      <c r="F54" s="16">
        <f t="shared" si="0"/>
        <v>69600</v>
      </c>
      <c r="G54" s="17">
        <v>200</v>
      </c>
      <c r="H54" s="16">
        <f t="shared" si="1"/>
        <v>59160</v>
      </c>
      <c r="I54" s="16">
        <v>50</v>
      </c>
      <c r="J54" s="16">
        <f t="shared" si="6"/>
        <v>208800</v>
      </c>
      <c r="K54" s="16"/>
      <c r="L54" s="16">
        <f t="shared" si="7"/>
        <v>0</v>
      </c>
      <c r="M54" s="16"/>
      <c r="N54" s="16">
        <f t="shared" si="8"/>
        <v>0</v>
      </c>
      <c r="O54" s="16"/>
      <c r="P54" s="16">
        <f t="shared" si="9"/>
        <v>0</v>
      </c>
      <c r="Q54" s="16">
        <v>200</v>
      </c>
      <c r="R54" s="16">
        <f t="shared" si="10"/>
        <v>5452000</v>
      </c>
      <c r="S54" s="16">
        <v>200</v>
      </c>
      <c r="T54" s="16">
        <f t="shared" si="11"/>
        <v>377000</v>
      </c>
      <c r="U54" s="16">
        <v>200</v>
      </c>
      <c r="V54" s="16">
        <f t="shared" si="12"/>
        <v>116128</v>
      </c>
      <c r="W54" s="16"/>
      <c r="X54" s="16"/>
      <c r="Y54" s="16"/>
      <c r="Z54" s="16">
        <f t="shared" si="13"/>
        <v>0</v>
      </c>
      <c r="AA54" s="16"/>
      <c r="AB54" s="16">
        <f t="shared" si="14"/>
        <v>0</v>
      </c>
      <c r="AC54" s="16">
        <v>200</v>
      </c>
      <c r="AD54" s="16">
        <f t="shared" si="15"/>
        <v>125280</v>
      </c>
      <c r="AE54" s="16">
        <v>200</v>
      </c>
      <c r="AF54" s="16">
        <f t="shared" si="16"/>
        <v>408088</v>
      </c>
      <c r="AG54" s="16">
        <v>50</v>
      </c>
      <c r="AH54" s="16">
        <f t="shared" si="17"/>
        <v>331586</v>
      </c>
      <c r="AI54" s="16"/>
      <c r="AJ54" s="16">
        <f t="shared" si="18"/>
        <v>0</v>
      </c>
      <c r="AK54" s="16">
        <v>200</v>
      </c>
      <c r="AL54" s="16">
        <f t="shared" si="19"/>
        <v>12760</v>
      </c>
      <c r="AM54" s="16"/>
      <c r="AN54" s="16">
        <f t="shared" si="2"/>
        <v>0</v>
      </c>
      <c r="AO54" s="16">
        <v>200</v>
      </c>
      <c r="AP54" s="16">
        <f t="shared" si="20"/>
        <v>54520.00000000001</v>
      </c>
      <c r="AQ54" s="16">
        <v>200</v>
      </c>
      <c r="AR54" s="16">
        <f t="shared" si="21"/>
        <v>64960</v>
      </c>
      <c r="AS54" s="16">
        <v>200</v>
      </c>
      <c r="AT54" s="16">
        <f t="shared" si="22"/>
        <v>64760</v>
      </c>
      <c r="AU54" s="16">
        <v>200</v>
      </c>
      <c r="AV54" s="16">
        <f t="shared" si="23"/>
        <v>1293152</v>
      </c>
      <c r="AW54" s="16">
        <v>200</v>
      </c>
      <c r="AX54" s="16">
        <f t="shared" si="3"/>
        <v>1268426</v>
      </c>
      <c r="AY54" s="16">
        <v>100</v>
      </c>
      <c r="AZ54" s="16">
        <f t="shared" si="24"/>
        <v>322953</v>
      </c>
      <c r="BA54" s="16"/>
      <c r="BB54" s="16">
        <f t="shared" si="25"/>
        <v>0</v>
      </c>
      <c r="BC54" s="11">
        <f t="shared" si="4"/>
        <v>10229173</v>
      </c>
      <c r="BD54" s="17"/>
      <c r="BE54" s="17"/>
      <c r="BF54" s="17"/>
      <c r="BG54" s="16">
        <f t="shared" si="5"/>
        <v>0</v>
      </c>
      <c r="BH54" s="17"/>
      <c r="BI54" s="17"/>
    </row>
    <row r="55" spans="1:61" ht="12.75">
      <c r="A55" s="38">
        <v>35936</v>
      </c>
      <c r="B55" s="39" t="s">
        <v>77</v>
      </c>
      <c r="C55" s="40" t="s">
        <v>875</v>
      </c>
      <c r="D55" s="40" t="s">
        <v>821</v>
      </c>
      <c r="E55" s="17"/>
      <c r="F55" s="16">
        <f t="shared" si="0"/>
        <v>0</v>
      </c>
      <c r="G55" s="17"/>
      <c r="H55" s="16">
        <f t="shared" si="1"/>
        <v>0</v>
      </c>
      <c r="I55" s="16"/>
      <c r="J55" s="16">
        <f t="shared" si="6"/>
        <v>0</v>
      </c>
      <c r="K55" s="16"/>
      <c r="L55" s="16">
        <f t="shared" si="7"/>
        <v>0</v>
      </c>
      <c r="M55" s="16"/>
      <c r="N55" s="16">
        <f t="shared" si="8"/>
        <v>0</v>
      </c>
      <c r="O55" s="16"/>
      <c r="P55" s="16">
        <f t="shared" si="9"/>
        <v>0</v>
      </c>
      <c r="Q55" s="16">
        <v>200</v>
      </c>
      <c r="R55" s="16">
        <f t="shared" si="10"/>
        <v>5452000</v>
      </c>
      <c r="S55" s="16"/>
      <c r="T55" s="16">
        <f t="shared" si="11"/>
        <v>0</v>
      </c>
      <c r="U55" s="16"/>
      <c r="V55" s="16">
        <f t="shared" si="12"/>
        <v>0</v>
      </c>
      <c r="W55" s="16"/>
      <c r="X55" s="16"/>
      <c r="Y55" s="16"/>
      <c r="Z55" s="16">
        <f t="shared" si="13"/>
        <v>0</v>
      </c>
      <c r="AA55" s="16">
        <v>100</v>
      </c>
      <c r="AB55" s="16">
        <f t="shared" si="14"/>
        <v>1450000</v>
      </c>
      <c r="AC55" s="16"/>
      <c r="AD55" s="16">
        <f t="shared" si="15"/>
        <v>0</v>
      </c>
      <c r="AE55" s="16"/>
      <c r="AF55" s="16">
        <f t="shared" si="16"/>
        <v>0</v>
      </c>
      <c r="AG55" s="16"/>
      <c r="AH55" s="16">
        <f t="shared" si="17"/>
        <v>0</v>
      </c>
      <c r="AI55" s="16"/>
      <c r="AJ55" s="16">
        <f t="shared" si="18"/>
        <v>0</v>
      </c>
      <c r="AK55" s="16"/>
      <c r="AL55" s="16">
        <f t="shared" si="19"/>
        <v>0</v>
      </c>
      <c r="AM55" s="16">
        <v>3</v>
      </c>
      <c r="AN55" s="16">
        <f t="shared" si="2"/>
        <v>765051.9299999999</v>
      </c>
      <c r="AO55" s="16"/>
      <c r="AP55" s="16">
        <f t="shared" si="20"/>
        <v>0</v>
      </c>
      <c r="AQ55" s="16"/>
      <c r="AR55" s="16">
        <f t="shared" si="21"/>
        <v>0</v>
      </c>
      <c r="AS55" s="16"/>
      <c r="AT55" s="16">
        <f t="shared" si="22"/>
        <v>0</v>
      </c>
      <c r="AU55" s="16">
        <v>200</v>
      </c>
      <c r="AV55" s="16">
        <f t="shared" si="23"/>
        <v>1293152</v>
      </c>
      <c r="AW55" s="16">
        <v>200</v>
      </c>
      <c r="AX55" s="16">
        <f t="shared" si="3"/>
        <v>1268426</v>
      </c>
      <c r="AY55" s="16">
        <v>200</v>
      </c>
      <c r="AZ55" s="16">
        <f t="shared" si="24"/>
        <v>645906</v>
      </c>
      <c r="BA55" s="16">
        <v>200</v>
      </c>
      <c r="BB55" s="16">
        <f t="shared" si="25"/>
        <v>1428294</v>
      </c>
      <c r="BC55" s="11">
        <f t="shared" si="4"/>
        <v>12302829.93</v>
      </c>
      <c r="BD55" s="17"/>
      <c r="BE55" s="17"/>
      <c r="BF55" s="17">
        <v>500</v>
      </c>
      <c r="BG55" s="16">
        <f t="shared" si="5"/>
        <v>11500000</v>
      </c>
      <c r="BH55" s="17"/>
      <c r="BI55" s="17"/>
    </row>
    <row r="56" spans="1:61" ht="12.75">
      <c r="A56" s="38">
        <v>35916</v>
      </c>
      <c r="B56" s="39" t="s">
        <v>34</v>
      </c>
      <c r="C56" s="40" t="s">
        <v>301</v>
      </c>
      <c r="D56" s="40" t="s">
        <v>911</v>
      </c>
      <c r="E56" s="17"/>
      <c r="F56" s="16">
        <f t="shared" si="0"/>
        <v>0</v>
      </c>
      <c r="G56" s="17"/>
      <c r="H56" s="16">
        <f t="shared" si="1"/>
        <v>0</v>
      </c>
      <c r="I56" s="16"/>
      <c r="J56" s="16">
        <f t="shared" si="6"/>
        <v>0</v>
      </c>
      <c r="K56" s="16"/>
      <c r="L56" s="16">
        <f t="shared" si="7"/>
        <v>0</v>
      </c>
      <c r="M56" s="16"/>
      <c r="N56" s="16">
        <f t="shared" si="8"/>
        <v>0</v>
      </c>
      <c r="O56" s="16"/>
      <c r="P56" s="16">
        <f t="shared" si="9"/>
        <v>0</v>
      </c>
      <c r="Q56" s="16"/>
      <c r="R56" s="16">
        <f t="shared" si="10"/>
        <v>0</v>
      </c>
      <c r="S56" s="16"/>
      <c r="T56" s="16">
        <f t="shared" si="11"/>
        <v>0</v>
      </c>
      <c r="U56" s="16"/>
      <c r="V56" s="16">
        <f t="shared" si="12"/>
        <v>0</v>
      </c>
      <c r="W56" s="16"/>
      <c r="X56" s="16"/>
      <c r="Y56" s="16"/>
      <c r="Z56" s="16">
        <f t="shared" si="13"/>
        <v>0</v>
      </c>
      <c r="AA56" s="16"/>
      <c r="AB56" s="16">
        <f t="shared" si="14"/>
        <v>0</v>
      </c>
      <c r="AC56" s="16"/>
      <c r="AD56" s="16">
        <f t="shared" si="15"/>
        <v>0</v>
      </c>
      <c r="AE56" s="16"/>
      <c r="AF56" s="16">
        <f t="shared" si="16"/>
        <v>0</v>
      </c>
      <c r="AG56" s="16"/>
      <c r="AH56" s="16">
        <f t="shared" si="17"/>
        <v>0</v>
      </c>
      <c r="AI56" s="16"/>
      <c r="AJ56" s="16">
        <f t="shared" si="18"/>
        <v>0</v>
      </c>
      <c r="AK56" s="16"/>
      <c r="AL56" s="16">
        <f t="shared" si="19"/>
        <v>0</v>
      </c>
      <c r="AM56" s="16"/>
      <c r="AN56" s="16">
        <f t="shared" si="2"/>
        <v>0</v>
      </c>
      <c r="AO56" s="16"/>
      <c r="AP56" s="16">
        <f t="shared" si="20"/>
        <v>0</v>
      </c>
      <c r="AQ56" s="16"/>
      <c r="AR56" s="16">
        <f t="shared" si="21"/>
        <v>0</v>
      </c>
      <c r="AS56" s="16"/>
      <c r="AT56" s="16">
        <f t="shared" si="22"/>
        <v>0</v>
      </c>
      <c r="AU56" s="16"/>
      <c r="AV56" s="16">
        <f t="shared" si="23"/>
        <v>0</v>
      </c>
      <c r="AW56" s="16"/>
      <c r="AX56" s="16">
        <f t="shared" si="3"/>
        <v>0</v>
      </c>
      <c r="AY56" s="16"/>
      <c r="AZ56" s="16">
        <f t="shared" si="24"/>
        <v>0</v>
      </c>
      <c r="BA56" s="16"/>
      <c r="BB56" s="16">
        <f t="shared" si="25"/>
        <v>0</v>
      </c>
      <c r="BC56" s="11">
        <f t="shared" si="4"/>
        <v>0</v>
      </c>
      <c r="BD56" s="17"/>
      <c r="BE56" s="17"/>
      <c r="BF56" s="17">
        <v>100</v>
      </c>
      <c r="BG56" s="16">
        <f t="shared" si="5"/>
        <v>2300000</v>
      </c>
      <c r="BH56" s="17">
        <v>400</v>
      </c>
      <c r="BI56" s="16">
        <f>+BH56*6885.76</f>
        <v>2754304</v>
      </c>
    </row>
    <row r="57" spans="1:61" ht="12.75">
      <c r="A57" s="38">
        <v>35916</v>
      </c>
      <c r="B57" s="39" t="s">
        <v>34</v>
      </c>
      <c r="C57" s="40" t="s">
        <v>303</v>
      </c>
      <c r="D57" s="40" t="s">
        <v>911</v>
      </c>
      <c r="E57" s="17">
        <v>45</v>
      </c>
      <c r="F57" s="16">
        <f t="shared" si="0"/>
        <v>15660</v>
      </c>
      <c r="G57" s="17">
        <v>45</v>
      </c>
      <c r="H57" s="16">
        <f t="shared" si="1"/>
        <v>13311</v>
      </c>
      <c r="I57" s="16"/>
      <c r="J57" s="16">
        <f t="shared" si="6"/>
        <v>0</v>
      </c>
      <c r="K57" s="16"/>
      <c r="L57" s="16">
        <f t="shared" si="7"/>
        <v>0</v>
      </c>
      <c r="M57" s="16">
        <v>45</v>
      </c>
      <c r="N57" s="16">
        <f t="shared" si="8"/>
        <v>111833.99999999999</v>
      </c>
      <c r="O57" s="16"/>
      <c r="P57" s="16">
        <f t="shared" si="9"/>
        <v>0</v>
      </c>
      <c r="Q57" s="16">
        <v>45</v>
      </c>
      <c r="R57" s="16">
        <f t="shared" si="10"/>
        <v>1226700</v>
      </c>
      <c r="S57" s="16">
        <v>45</v>
      </c>
      <c r="T57" s="16">
        <f t="shared" si="11"/>
        <v>84825</v>
      </c>
      <c r="U57" s="16">
        <v>45</v>
      </c>
      <c r="V57" s="16">
        <f t="shared" si="12"/>
        <v>26128.8</v>
      </c>
      <c r="W57" s="16"/>
      <c r="X57" s="16"/>
      <c r="Y57" s="16"/>
      <c r="Z57" s="16">
        <f t="shared" si="13"/>
        <v>0</v>
      </c>
      <c r="AA57" s="16"/>
      <c r="AB57" s="16">
        <f t="shared" si="14"/>
        <v>0</v>
      </c>
      <c r="AC57" s="16">
        <v>45</v>
      </c>
      <c r="AD57" s="16">
        <f t="shared" si="15"/>
        <v>28188</v>
      </c>
      <c r="AE57" s="16"/>
      <c r="AF57" s="16">
        <f t="shared" si="16"/>
        <v>0</v>
      </c>
      <c r="AG57" s="16"/>
      <c r="AH57" s="16">
        <f t="shared" si="17"/>
        <v>0</v>
      </c>
      <c r="AI57" s="16"/>
      <c r="AJ57" s="16">
        <f t="shared" si="18"/>
        <v>0</v>
      </c>
      <c r="AK57" s="16">
        <v>45</v>
      </c>
      <c r="AL57" s="16">
        <f t="shared" si="19"/>
        <v>2871</v>
      </c>
      <c r="AM57" s="16"/>
      <c r="AN57" s="16">
        <f t="shared" si="2"/>
        <v>0</v>
      </c>
      <c r="AO57" s="16"/>
      <c r="AP57" s="16">
        <f t="shared" si="20"/>
        <v>0</v>
      </c>
      <c r="AQ57" s="16"/>
      <c r="AR57" s="16">
        <f t="shared" si="21"/>
        <v>0</v>
      </c>
      <c r="AS57" s="16"/>
      <c r="AT57" s="16">
        <f t="shared" si="22"/>
        <v>0</v>
      </c>
      <c r="AU57" s="16"/>
      <c r="AV57" s="16">
        <f t="shared" si="23"/>
        <v>0</v>
      </c>
      <c r="AW57" s="16"/>
      <c r="AX57" s="16">
        <f t="shared" si="3"/>
        <v>0</v>
      </c>
      <c r="AY57" s="16"/>
      <c r="AZ57" s="16">
        <f t="shared" si="24"/>
        <v>0</v>
      </c>
      <c r="BA57" s="16"/>
      <c r="BB57" s="16">
        <f t="shared" si="25"/>
        <v>0</v>
      </c>
      <c r="BC57" s="11">
        <f t="shared" si="4"/>
        <v>1509517.8</v>
      </c>
      <c r="BD57" s="17"/>
      <c r="BE57" s="17"/>
      <c r="BF57" s="17"/>
      <c r="BG57" s="16">
        <f t="shared" si="5"/>
        <v>0</v>
      </c>
      <c r="BH57" s="17"/>
      <c r="BI57" s="17"/>
    </row>
    <row r="58" spans="1:61" ht="12.75">
      <c r="A58" s="38">
        <v>35923</v>
      </c>
      <c r="B58" s="39" t="s">
        <v>39</v>
      </c>
      <c r="C58" s="40" t="s">
        <v>158</v>
      </c>
      <c r="D58" s="40" t="s">
        <v>821</v>
      </c>
      <c r="E58" s="17"/>
      <c r="F58" s="16">
        <f t="shared" si="0"/>
        <v>0</v>
      </c>
      <c r="G58" s="17"/>
      <c r="H58" s="16">
        <f t="shared" si="1"/>
        <v>0</v>
      </c>
      <c r="I58" s="16"/>
      <c r="J58" s="16">
        <f t="shared" si="6"/>
        <v>0</v>
      </c>
      <c r="K58" s="16"/>
      <c r="L58" s="16">
        <f t="shared" si="7"/>
        <v>0</v>
      </c>
      <c r="M58" s="16"/>
      <c r="N58" s="16">
        <f t="shared" si="8"/>
        <v>0</v>
      </c>
      <c r="O58" s="16"/>
      <c r="P58" s="16">
        <f t="shared" si="9"/>
        <v>0</v>
      </c>
      <c r="Q58" s="16"/>
      <c r="R58" s="16">
        <f t="shared" si="10"/>
        <v>0</v>
      </c>
      <c r="S58" s="16"/>
      <c r="T58" s="16">
        <f t="shared" si="11"/>
        <v>0</v>
      </c>
      <c r="U58" s="16"/>
      <c r="V58" s="16">
        <f t="shared" si="12"/>
        <v>0</v>
      </c>
      <c r="W58" s="16"/>
      <c r="X58" s="16"/>
      <c r="Y58" s="16"/>
      <c r="Z58" s="16">
        <f t="shared" si="13"/>
        <v>0</v>
      </c>
      <c r="AA58" s="16"/>
      <c r="AB58" s="16">
        <f t="shared" si="14"/>
        <v>0</v>
      </c>
      <c r="AC58" s="16"/>
      <c r="AD58" s="16">
        <f t="shared" si="15"/>
        <v>0</v>
      </c>
      <c r="AE58" s="16"/>
      <c r="AF58" s="16">
        <f t="shared" si="16"/>
        <v>0</v>
      </c>
      <c r="AG58" s="16"/>
      <c r="AH58" s="16">
        <f t="shared" si="17"/>
        <v>0</v>
      </c>
      <c r="AI58" s="16"/>
      <c r="AJ58" s="16">
        <f t="shared" si="18"/>
        <v>0</v>
      </c>
      <c r="AK58" s="16"/>
      <c r="AL58" s="16">
        <f t="shared" si="19"/>
        <v>0</v>
      </c>
      <c r="AM58" s="16"/>
      <c r="AN58" s="16">
        <f t="shared" si="2"/>
        <v>0</v>
      </c>
      <c r="AO58" s="16"/>
      <c r="AP58" s="16">
        <f t="shared" si="20"/>
        <v>0</v>
      </c>
      <c r="AQ58" s="16"/>
      <c r="AR58" s="16">
        <f t="shared" si="21"/>
        <v>0</v>
      </c>
      <c r="AS58" s="16"/>
      <c r="AT58" s="16">
        <f t="shared" si="22"/>
        <v>0</v>
      </c>
      <c r="AU58" s="16"/>
      <c r="AV58" s="16">
        <f t="shared" si="23"/>
        <v>0</v>
      </c>
      <c r="AW58" s="16"/>
      <c r="AX58" s="16">
        <f t="shared" si="3"/>
        <v>0</v>
      </c>
      <c r="AY58" s="16"/>
      <c r="AZ58" s="16">
        <f t="shared" si="24"/>
        <v>0</v>
      </c>
      <c r="BA58" s="16"/>
      <c r="BB58" s="16">
        <f t="shared" si="25"/>
        <v>0</v>
      </c>
      <c r="BC58" s="11">
        <f t="shared" si="4"/>
        <v>0</v>
      </c>
      <c r="BD58" s="17"/>
      <c r="BE58" s="17"/>
      <c r="BF58" s="17">
        <v>65</v>
      </c>
      <c r="BG58" s="16">
        <f t="shared" si="5"/>
        <v>1495000</v>
      </c>
      <c r="BH58" s="17"/>
      <c r="BI58" s="17"/>
    </row>
    <row r="59" spans="1:61" ht="12.75">
      <c r="A59" s="38">
        <v>35920</v>
      </c>
      <c r="B59" s="39" t="s">
        <v>882</v>
      </c>
      <c r="C59" s="40" t="s">
        <v>305</v>
      </c>
      <c r="D59" s="40" t="s">
        <v>821</v>
      </c>
      <c r="E59" s="17">
        <v>524</v>
      </c>
      <c r="F59" s="16">
        <f t="shared" si="0"/>
        <v>182352</v>
      </c>
      <c r="G59" s="17">
        <v>524</v>
      </c>
      <c r="H59" s="16">
        <f t="shared" si="1"/>
        <v>154999.2</v>
      </c>
      <c r="I59" s="16"/>
      <c r="J59" s="16">
        <f t="shared" si="6"/>
        <v>0</v>
      </c>
      <c r="K59" s="16"/>
      <c r="L59" s="16">
        <f t="shared" si="7"/>
        <v>0</v>
      </c>
      <c r="M59" s="16"/>
      <c r="N59" s="16">
        <f t="shared" si="8"/>
        <v>0</v>
      </c>
      <c r="O59" s="16"/>
      <c r="P59" s="16">
        <f t="shared" si="9"/>
        <v>0</v>
      </c>
      <c r="Q59" s="16">
        <v>524</v>
      </c>
      <c r="R59" s="16">
        <f t="shared" si="10"/>
        <v>14284240</v>
      </c>
      <c r="S59" s="16">
        <v>524</v>
      </c>
      <c r="T59" s="16">
        <f t="shared" si="11"/>
        <v>987740</v>
      </c>
      <c r="U59" s="16">
        <v>524</v>
      </c>
      <c r="V59" s="16">
        <f t="shared" si="12"/>
        <v>304255.36</v>
      </c>
      <c r="W59" s="16"/>
      <c r="X59" s="16"/>
      <c r="Y59" s="16"/>
      <c r="Z59" s="16">
        <f t="shared" si="13"/>
        <v>0</v>
      </c>
      <c r="AA59" s="16"/>
      <c r="AB59" s="16">
        <f t="shared" si="14"/>
        <v>0</v>
      </c>
      <c r="AC59" s="16">
        <v>524</v>
      </c>
      <c r="AD59" s="16">
        <f t="shared" si="15"/>
        <v>328233.6</v>
      </c>
      <c r="AE59" s="16">
        <v>524</v>
      </c>
      <c r="AF59" s="16">
        <f t="shared" si="16"/>
        <v>1069190.56</v>
      </c>
      <c r="AG59" s="16"/>
      <c r="AH59" s="16">
        <f t="shared" si="17"/>
        <v>0</v>
      </c>
      <c r="AI59" s="16"/>
      <c r="AJ59" s="16">
        <f t="shared" si="18"/>
        <v>0</v>
      </c>
      <c r="AK59" s="16">
        <v>524</v>
      </c>
      <c r="AL59" s="16">
        <f t="shared" si="19"/>
        <v>33431.2</v>
      </c>
      <c r="AM59" s="16"/>
      <c r="AN59" s="16">
        <f t="shared" si="2"/>
        <v>0</v>
      </c>
      <c r="AO59" s="16">
        <v>524</v>
      </c>
      <c r="AP59" s="16">
        <f t="shared" si="20"/>
        <v>142842.40000000002</v>
      </c>
      <c r="AQ59" s="16">
        <v>524</v>
      </c>
      <c r="AR59" s="16">
        <f t="shared" si="21"/>
        <v>170195.2</v>
      </c>
      <c r="AS59" s="16">
        <v>524</v>
      </c>
      <c r="AT59" s="16">
        <f t="shared" si="22"/>
        <v>169671.2</v>
      </c>
      <c r="AU59" s="16">
        <v>524</v>
      </c>
      <c r="AV59" s="16">
        <f t="shared" si="23"/>
        <v>3388058.24</v>
      </c>
      <c r="AW59" s="16"/>
      <c r="AX59" s="16">
        <f t="shared" si="3"/>
        <v>0</v>
      </c>
      <c r="AY59" s="16"/>
      <c r="AZ59" s="16">
        <f t="shared" si="24"/>
        <v>0</v>
      </c>
      <c r="BA59" s="16"/>
      <c r="BB59" s="16">
        <f t="shared" si="25"/>
        <v>0</v>
      </c>
      <c r="BC59" s="11">
        <f t="shared" si="4"/>
        <v>21215208.959999993</v>
      </c>
      <c r="BD59" s="17"/>
      <c r="BE59" s="17"/>
      <c r="BF59" s="17">
        <v>262</v>
      </c>
      <c r="BG59" s="16">
        <f t="shared" si="5"/>
        <v>6026000</v>
      </c>
      <c r="BH59" s="17"/>
      <c r="BI59" s="17"/>
    </row>
    <row r="60" spans="1:61" ht="12.75">
      <c r="A60" s="38">
        <v>35916</v>
      </c>
      <c r="B60" s="39" t="s">
        <v>889</v>
      </c>
      <c r="C60" s="40" t="s">
        <v>890</v>
      </c>
      <c r="D60" s="40" t="s">
        <v>891</v>
      </c>
      <c r="E60" s="17"/>
      <c r="F60" s="16">
        <f t="shared" si="0"/>
        <v>0</v>
      </c>
      <c r="G60" s="17"/>
      <c r="H60" s="16">
        <f t="shared" si="1"/>
        <v>0</v>
      </c>
      <c r="I60" s="16"/>
      <c r="J60" s="16">
        <f t="shared" si="6"/>
        <v>0</v>
      </c>
      <c r="K60" s="16"/>
      <c r="L60" s="16">
        <f t="shared" si="7"/>
        <v>0</v>
      </c>
      <c r="M60" s="16">
        <v>300</v>
      </c>
      <c r="N60" s="16">
        <f t="shared" si="8"/>
        <v>745560</v>
      </c>
      <c r="O60" s="16"/>
      <c r="P60" s="16">
        <f t="shared" si="9"/>
        <v>0</v>
      </c>
      <c r="Q60" s="16">
        <v>3</v>
      </c>
      <c r="R60" s="16">
        <f t="shared" si="10"/>
        <v>81780</v>
      </c>
      <c r="S60" s="16"/>
      <c r="T60" s="16">
        <f t="shared" si="11"/>
        <v>0</v>
      </c>
      <c r="U60" s="16"/>
      <c r="V60" s="16">
        <f t="shared" si="12"/>
        <v>0</v>
      </c>
      <c r="W60" s="16"/>
      <c r="X60" s="16"/>
      <c r="Y60" s="16"/>
      <c r="Z60" s="16">
        <f t="shared" si="13"/>
        <v>0</v>
      </c>
      <c r="AA60" s="16"/>
      <c r="AB60" s="16">
        <f t="shared" si="14"/>
        <v>0</v>
      </c>
      <c r="AC60" s="16"/>
      <c r="AD60" s="16">
        <f t="shared" si="15"/>
        <v>0</v>
      </c>
      <c r="AE60" s="16">
        <v>300</v>
      </c>
      <c r="AF60" s="16">
        <f t="shared" si="16"/>
        <v>612132</v>
      </c>
      <c r="AG60" s="16"/>
      <c r="AH60" s="16">
        <f t="shared" si="17"/>
        <v>0</v>
      </c>
      <c r="AI60" s="16"/>
      <c r="AJ60" s="16">
        <f t="shared" si="18"/>
        <v>0</v>
      </c>
      <c r="AK60" s="16"/>
      <c r="AL60" s="16">
        <f t="shared" si="19"/>
        <v>0</v>
      </c>
      <c r="AM60" s="16"/>
      <c r="AN60" s="16">
        <f t="shared" si="2"/>
        <v>0</v>
      </c>
      <c r="AO60" s="16">
        <v>300</v>
      </c>
      <c r="AP60" s="16">
        <f t="shared" si="20"/>
        <v>81780</v>
      </c>
      <c r="AQ60" s="16">
        <v>300</v>
      </c>
      <c r="AR60" s="16">
        <f t="shared" si="21"/>
        <v>97440</v>
      </c>
      <c r="AS60" s="16"/>
      <c r="AT60" s="16">
        <f t="shared" si="22"/>
        <v>0</v>
      </c>
      <c r="AU60" s="16"/>
      <c r="AV60" s="16">
        <f t="shared" si="23"/>
        <v>0</v>
      </c>
      <c r="AW60" s="16"/>
      <c r="AX60" s="16">
        <f t="shared" si="3"/>
        <v>0</v>
      </c>
      <c r="AY60" s="16"/>
      <c r="AZ60" s="16">
        <f t="shared" si="24"/>
        <v>0</v>
      </c>
      <c r="BA60" s="16"/>
      <c r="BB60" s="16">
        <f t="shared" si="25"/>
        <v>0</v>
      </c>
      <c r="BC60" s="11">
        <f t="shared" si="4"/>
        <v>1618692</v>
      </c>
      <c r="BD60" s="17"/>
      <c r="BE60" s="17"/>
      <c r="BF60" s="17">
        <v>300</v>
      </c>
      <c r="BG60" s="16">
        <f t="shared" si="5"/>
        <v>6900000</v>
      </c>
      <c r="BH60" s="17">
        <v>500</v>
      </c>
      <c r="BI60" s="16">
        <f>+BH60*6885.76</f>
        <v>3442880</v>
      </c>
    </row>
    <row r="61" spans="1:61" ht="12.75">
      <c r="A61" s="38">
        <v>35943</v>
      </c>
      <c r="B61" s="39" t="s">
        <v>889</v>
      </c>
      <c r="C61" s="40" t="s">
        <v>319</v>
      </c>
      <c r="D61" s="40" t="s">
        <v>911</v>
      </c>
      <c r="E61" s="17"/>
      <c r="F61" s="16">
        <f t="shared" si="0"/>
        <v>0</v>
      </c>
      <c r="G61" s="17"/>
      <c r="H61" s="16">
        <f t="shared" si="1"/>
        <v>0</v>
      </c>
      <c r="I61" s="16"/>
      <c r="J61" s="16">
        <f t="shared" si="6"/>
        <v>0</v>
      </c>
      <c r="K61" s="16"/>
      <c r="L61" s="16">
        <f t="shared" si="7"/>
        <v>0</v>
      </c>
      <c r="M61" s="16"/>
      <c r="N61" s="16">
        <f t="shared" si="8"/>
        <v>0</v>
      </c>
      <c r="O61" s="16"/>
      <c r="P61" s="16">
        <f t="shared" si="9"/>
        <v>0</v>
      </c>
      <c r="Q61" s="16"/>
      <c r="R61" s="16">
        <f t="shared" si="10"/>
        <v>0</v>
      </c>
      <c r="S61" s="16"/>
      <c r="T61" s="16">
        <f t="shared" si="11"/>
        <v>0</v>
      </c>
      <c r="U61" s="16"/>
      <c r="V61" s="16">
        <f t="shared" si="12"/>
        <v>0</v>
      </c>
      <c r="W61" s="16"/>
      <c r="X61" s="16"/>
      <c r="Y61" s="16"/>
      <c r="Z61" s="16">
        <f t="shared" si="13"/>
        <v>0</v>
      </c>
      <c r="AA61" s="16"/>
      <c r="AB61" s="16">
        <f t="shared" si="14"/>
        <v>0</v>
      </c>
      <c r="AC61" s="16"/>
      <c r="AD61" s="16">
        <f t="shared" si="15"/>
        <v>0</v>
      </c>
      <c r="AE61" s="16"/>
      <c r="AF61" s="16">
        <f t="shared" si="16"/>
        <v>0</v>
      </c>
      <c r="AG61" s="16"/>
      <c r="AH61" s="16">
        <f t="shared" si="17"/>
        <v>0</v>
      </c>
      <c r="AI61" s="16"/>
      <c r="AJ61" s="16">
        <f t="shared" si="18"/>
        <v>0</v>
      </c>
      <c r="AK61" s="16"/>
      <c r="AL61" s="16">
        <f t="shared" si="19"/>
        <v>0</v>
      </c>
      <c r="AM61" s="16"/>
      <c r="AN61" s="16">
        <f t="shared" si="2"/>
        <v>0</v>
      </c>
      <c r="AO61" s="16"/>
      <c r="AP61" s="16">
        <f t="shared" si="20"/>
        <v>0</v>
      </c>
      <c r="AQ61" s="16"/>
      <c r="AR61" s="16">
        <f t="shared" si="21"/>
        <v>0</v>
      </c>
      <c r="AS61" s="16"/>
      <c r="AT61" s="16">
        <f t="shared" si="22"/>
        <v>0</v>
      </c>
      <c r="AU61" s="16"/>
      <c r="AV61" s="16">
        <f t="shared" si="23"/>
        <v>0</v>
      </c>
      <c r="AW61" s="16"/>
      <c r="AX61" s="16">
        <f t="shared" si="3"/>
        <v>0</v>
      </c>
      <c r="AY61" s="16"/>
      <c r="AZ61" s="16">
        <f t="shared" si="24"/>
        <v>0</v>
      </c>
      <c r="BA61" s="16"/>
      <c r="BB61" s="16">
        <f t="shared" si="25"/>
        <v>0</v>
      </c>
      <c r="BC61" s="11">
        <f t="shared" si="4"/>
        <v>0</v>
      </c>
      <c r="BD61" s="17"/>
      <c r="BE61" s="17"/>
      <c r="BF61" s="17"/>
      <c r="BG61" s="16">
        <f t="shared" si="5"/>
        <v>0</v>
      </c>
      <c r="BH61" s="17">
        <v>1000</v>
      </c>
      <c r="BI61" s="16">
        <v>6883440</v>
      </c>
    </row>
    <row r="62" spans="1:61" ht="22.5">
      <c r="A62" s="38">
        <v>35926</v>
      </c>
      <c r="B62" s="39" t="s">
        <v>893</v>
      </c>
      <c r="C62" s="40" t="s">
        <v>320</v>
      </c>
      <c r="D62" s="40" t="s">
        <v>911</v>
      </c>
      <c r="E62" s="17"/>
      <c r="F62" s="16">
        <f t="shared" si="0"/>
        <v>0</v>
      </c>
      <c r="G62" s="17"/>
      <c r="H62" s="16">
        <f t="shared" si="1"/>
        <v>0</v>
      </c>
      <c r="I62" s="16"/>
      <c r="J62" s="16">
        <f t="shared" si="6"/>
        <v>0</v>
      </c>
      <c r="K62" s="16"/>
      <c r="L62" s="16">
        <f t="shared" si="7"/>
        <v>0</v>
      </c>
      <c r="M62" s="16"/>
      <c r="N62" s="16">
        <f t="shared" si="8"/>
        <v>0</v>
      </c>
      <c r="O62" s="16"/>
      <c r="P62" s="16">
        <f t="shared" si="9"/>
        <v>0</v>
      </c>
      <c r="Q62" s="16"/>
      <c r="R62" s="16">
        <f t="shared" si="10"/>
        <v>0</v>
      </c>
      <c r="S62" s="16"/>
      <c r="T62" s="16">
        <f t="shared" si="11"/>
        <v>0</v>
      </c>
      <c r="U62" s="16"/>
      <c r="V62" s="16">
        <f t="shared" si="12"/>
        <v>0</v>
      </c>
      <c r="W62" s="16"/>
      <c r="X62" s="16"/>
      <c r="Y62" s="16"/>
      <c r="Z62" s="16">
        <f t="shared" si="13"/>
        <v>0</v>
      </c>
      <c r="AA62" s="16"/>
      <c r="AB62" s="16">
        <f t="shared" si="14"/>
        <v>0</v>
      </c>
      <c r="AC62" s="16"/>
      <c r="AD62" s="16">
        <f t="shared" si="15"/>
        <v>0</v>
      </c>
      <c r="AE62" s="16"/>
      <c r="AF62" s="16">
        <f t="shared" si="16"/>
        <v>0</v>
      </c>
      <c r="AG62" s="16"/>
      <c r="AH62" s="16">
        <f t="shared" si="17"/>
        <v>0</v>
      </c>
      <c r="AI62" s="16"/>
      <c r="AJ62" s="16">
        <f t="shared" si="18"/>
        <v>0</v>
      </c>
      <c r="AK62" s="16"/>
      <c r="AL62" s="16">
        <f t="shared" si="19"/>
        <v>0</v>
      </c>
      <c r="AM62" s="16"/>
      <c r="AN62" s="16">
        <f t="shared" si="2"/>
        <v>0</v>
      </c>
      <c r="AO62" s="16"/>
      <c r="AP62" s="16">
        <f t="shared" si="20"/>
        <v>0</v>
      </c>
      <c r="AQ62" s="16"/>
      <c r="AR62" s="16">
        <f t="shared" si="21"/>
        <v>0</v>
      </c>
      <c r="AS62" s="16"/>
      <c r="AT62" s="16">
        <f t="shared" si="22"/>
        <v>0</v>
      </c>
      <c r="AU62" s="16"/>
      <c r="AV62" s="16">
        <f t="shared" si="23"/>
        <v>0</v>
      </c>
      <c r="AW62" s="16"/>
      <c r="AX62" s="16">
        <f t="shared" si="3"/>
        <v>0</v>
      </c>
      <c r="AY62" s="16"/>
      <c r="AZ62" s="16">
        <f t="shared" si="24"/>
        <v>0</v>
      </c>
      <c r="BA62" s="16"/>
      <c r="BB62" s="16">
        <f t="shared" si="25"/>
        <v>0</v>
      </c>
      <c r="BC62" s="11">
        <f t="shared" si="4"/>
        <v>0</v>
      </c>
      <c r="BD62" s="17"/>
      <c r="BE62" s="17"/>
      <c r="BF62" s="17"/>
      <c r="BG62" s="16">
        <f t="shared" si="5"/>
        <v>0</v>
      </c>
      <c r="BH62" s="17">
        <v>135</v>
      </c>
      <c r="BI62" s="17">
        <f>95*6885.76+40*13122*1.16</f>
        <v>1263008</v>
      </c>
    </row>
    <row r="63" spans="1:61" ht="12.75">
      <c r="A63" s="38">
        <v>35919</v>
      </c>
      <c r="B63" s="39" t="s">
        <v>366</v>
      </c>
      <c r="C63" s="40" t="s">
        <v>367</v>
      </c>
      <c r="D63" s="40" t="s">
        <v>821</v>
      </c>
      <c r="E63" s="17"/>
      <c r="F63" s="16">
        <f t="shared" si="0"/>
        <v>0</v>
      </c>
      <c r="G63" s="17"/>
      <c r="H63" s="16">
        <f t="shared" si="1"/>
        <v>0</v>
      </c>
      <c r="I63" s="16"/>
      <c r="J63" s="16">
        <f t="shared" si="6"/>
        <v>0</v>
      </c>
      <c r="K63" s="16"/>
      <c r="L63" s="16">
        <f t="shared" si="7"/>
        <v>0</v>
      </c>
      <c r="M63" s="16"/>
      <c r="N63" s="16">
        <f t="shared" si="8"/>
        <v>0</v>
      </c>
      <c r="O63" s="16"/>
      <c r="P63" s="16">
        <f t="shared" si="9"/>
        <v>0</v>
      </c>
      <c r="Q63" s="16">
        <v>1000</v>
      </c>
      <c r="R63" s="16">
        <f t="shared" si="10"/>
        <v>27260000</v>
      </c>
      <c r="S63" s="16"/>
      <c r="T63" s="16">
        <f t="shared" si="11"/>
        <v>0</v>
      </c>
      <c r="U63" s="16"/>
      <c r="V63" s="16">
        <f t="shared" si="12"/>
        <v>0</v>
      </c>
      <c r="W63" s="16"/>
      <c r="X63" s="16"/>
      <c r="Y63" s="16"/>
      <c r="Z63" s="16">
        <f t="shared" si="13"/>
        <v>0</v>
      </c>
      <c r="AA63" s="16"/>
      <c r="AB63" s="16">
        <f t="shared" si="14"/>
        <v>0</v>
      </c>
      <c r="AC63" s="16"/>
      <c r="AD63" s="16">
        <f t="shared" si="15"/>
        <v>0</v>
      </c>
      <c r="AE63" s="16"/>
      <c r="AF63" s="16">
        <f t="shared" si="16"/>
        <v>0</v>
      </c>
      <c r="AG63" s="16"/>
      <c r="AH63" s="16">
        <f t="shared" si="17"/>
        <v>0</v>
      </c>
      <c r="AI63" s="16"/>
      <c r="AJ63" s="16">
        <f t="shared" si="18"/>
        <v>0</v>
      </c>
      <c r="AK63" s="16"/>
      <c r="AL63" s="16">
        <f t="shared" si="19"/>
        <v>0</v>
      </c>
      <c r="AM63" s="16">
        <v>10</v>
      </c>
      <c r="AN63" s="16">
        <f t="shared" si="2"/>
        <v>2550173.1</v>
      </c>
      <c r="AO63" s="16"/>
      <c r="AP63" s="16">
        <f t="shared" si="20"/>
        <v>0</v>
      </c>
      <c r="AQ63" s="16"/>
      <c r="AR63" s="16">
        <f t="shared" si="21"/>
        <v>0</v>
      </c>
      <c r="AS63" s="16"/>
      <c r="AT63" s="16">
        <f t="shared" si="22"/>
        <v>0</v>
      </c>
      <c r="AU63" s="16"/>
      <c r="AV63" s="16">
        <f t="shared" si="23"/>
        <v>0</v>
      </c>
      <c r="AW63" s="16">
        <v>1000</v>
      </c>
      <c r="AX63" s="16">
        <f t="shared" si="3"/>
        <v>6342130</v>
      </c>
      <c r="AY63" s="16"/>
      <c r="AZ63" s="16">
        <f t="shared" si="24"/>
        <v>0</v>
      </c>
      <c r="BA63" s="16"/>
      <c r="BB63" s="16">
        <f t="shared" si="25"/>
        <v>0</v>
      </c>
      <c r="BC63" s="11">
        <f t="shared" si="4"/>
        <v>36152303.1</v>
      </c>
      <c r="BD63" s="17"/>
      <c r="BE63" s="17"/>
      <c r="BF63" s="17">
        <v>500</v>
      </c>
      <c r="BG63" s="16">
        <f t="shared" si="5"/>
        <v>11500000</v>
      </c>
      <c r="BH63" s="17"/>
      <c r="BI63" s="17"/>
    </row>
    <row r="64" spans="1:61" ht="12.75">
      <c r="A64" s="38">
        <v>35944</v>
      </c>
      <c r="B64" s="39" t="s">
        <v>366</v>
      </c>
      <c r="C64" s="40" t="s">
        <v>369</v>
      </c>
      <c r="D64" s="40" t="s">
        <v>821</v>
      </c>
      <c r="E64" s="17"/>
      <c r="F64" s="16">
        <f t="shared" si="0"/>
        <v>0</v>
      </c>
      <c r="G64" s="17"/>
      <c r="H64" s="16">
        <f t="shared" si="1"/>
        <v>0</v>
      </c>
      <c r="I64" s="16"/>
      <c r="J64" s="16">
        <f t="shared" si="6"/>
        <v>0</v>
      </c>
      <c r="K64" s="16"/>
      <c r="L64" s="16">
        <f t="shared" si="7"/>
        <v>0</v>
      </c>
      <c r="M64" s="16">
        <v>774</v>
      </c>
      <c r="N64" s="16">
        <f t="shared" si="8"/>
        <v>1923544.7999999998</v>
      </c>
      <c r="O64" s="16"/>
      <c r="P64" s="16">
        <f t="shared" si="9"/>
        <v>0</v>
      </c>
      <c r="Q64" s="16">
        <v>804</v>
      </c>
      <c r="R64" s="16">
        <f t="shared" si="10"/>
        <v>21917040</v>
      </c>
      <c r="S64" s="16"/>
      <c r="T64" s="16">
        <f t="shared" si="11"/>
        <v>0</v>
      </c>
      <c r="U64" s="16"/>
      <c r="V64" s="16">
        <f t="shared" si="12"/>
        <v>0</v>
      </c>
      <c r="W64" s="16"/>
      <c r="X64" s="16"/>
      <c r="Y64" s="16"/>
      <c r="Z64" s="16">
        <f t="shared" si="13"/>
        <v>0</v>
      </c>
      <c r="AA64" s="16"/>
      <c r="AB64" s="16">
        <f t="shared" si="14"/>
        <v>0</v>
      </c>
      <c r="AC64" s="16"/>
      <c r="AD64" s="16">
        <f t="shared" si="15"/>
        <v>0</v>
      </c>
      <c r="AE64" s="16"/>
      <c r="AF64" s="16">
        <f t="shared" si="16"/>
        <v>0</v>
      </c>
      <c r="AG64" s="16"/>
      <c r="AH64" s="16">
        <f t="shared" si="17"/>
        <v>0</v>
      </c>
      <c r="AI64" s="16"/>
      <c r="AJ64" s="16">
        <f t="shared" si="18"/>
        <v>0</v>
      </c>
      <c r="AK64" s="16"/>
      <c r="AL64" s="16">
        <f t="shared" si="19"/>
        <v>0</v>
      </c>
      <c r="AM64" s="16"/>
      <c r="AN64" s="16">
        <f t="shared" si="2"/>
        <v>0</v>
      </c>
      <c r="AO64" s="16"/>
      <c r="AP64" s="16">
        <f t="shared" si="20"/>
        <v>0</v>
      </c>
      <c r="AQ64" s="16"/>
      <c r="AR64" s="16">
        <f t="shared" si="21"/>
        <v>0</v>
      </c>
      <c r="AS64" s="16"/>
      <c r="AT64" s="16">
        <f t="shared" si="22"/>
        <v>0</v>
      </c>
      <c r="AU64" s="16"/>
      <c r="AV64" s="16">
        <f t="shared" si="23"/>
        <v>0</v>
      </c>
      <c r="AW64" s="16"/>
      <c r="AX64" s="16">
        <f t="shared" si="3"/>
        <v>0</v>
      </c>
      <c r="AY64" s="16"/>
      <c r="AZ64" s="16">
        <f t="shared" si="24"/>
        <v>0</v>
      </c>
      <c r="BA64" s="16"/>
      <c r="BB64" s="16">
        <f t="shared" si="25"/>
        <v>0</v>
      </c>
      <c r="BC64" s="11">
        <f t="shared" si="4"/>
        <v>23840584.8</v>
      </c>
      <c r="BD64" s="17"/>
      <c r="BE64" s="17"/>
      <c r="BF64" s="17">
        <v>386</v>
      </c>
      <c r="BG64" s="16">
        <f t="shared" si="5"/>
        <v>8878000</v>
      </c>
      <c r="BH64" s="17"/>
      <c r="BI64" s="17"/>
    </row>
    <row r="65" spans="1:61" ht="12.75">
      <c r="A65" s="38">
        <v>35944</v>
      </c>
      <c r="B65" s="39" t="s">
        <v>366</v>
      </c>
      <c r="C65" s="40" t="s">
        <v>367</v>
      </c>
      <c r="D65" s="40" t="s">
        <v>821</v>
      </c>
      <c r="E65" s="17"/>
      <c r="F65" s="16">
        <f t="shared" si="0"/>
        <v>0</v>
      </c>
      <c r="G65" s="17"/>
      <c r="H65" s="16">
        <f t="shared" si="1"/>
        <v>0</v>
      </c>
      <c r="I65" s="16"/>
      <c r="J65" s="16">
        <f t="shared" si="6"/>
        <v>0</v>
      </c>
      <c r="K65" s="16"/>
      <c r="L65" s="16">
        <f t="shared" si="7"/>
        <v>0</v>
      </c>
      <c r="M65" s="16">
        <v>40</v>
      </c>
      <c r="N65" s="16">
        <f t="shared" si="8"/>
        <v>99408</v>
      </c>
      <c r="O65" s="16"/>
      <c r="P65" s="16">
        <f t="shared" si="9"/>
        <v>0</v>
      </c>
      <c r="Q65" s="16">
        <v>40</v>
      </c>
      <c r="R65" s="16">
        <f t="shared" si="10"/>
        <v>1090400</v>
      </c>
      <c r="S65" s="16"/>
      <c r="T65" s="16">
        <f t="shared" si="11"/>
        <v>0</v>
      </c>
      <c r="U65" s="16"/>
      <c r="V65" s="16">
        <f t="shared" si="12"/>
        <v>0</v>
      </c>
      <c r="W65" s="16"/>
      <c r="X65" s="16"/>
      <c r="Y65" s="16"/>
      <c r="Z65" s="16">
        <f t="shared" si="13"/>
        <v>0</v>
      </c>
      <c r="AA65" s="16"/>
      <c r="AB65" s="16">
        <f t="shared" si="14"/>
        <v>0</v>
      </c>
      <c r="AC65" s="16"/>
      <c r="AD65" s="16">
        <f t="shared" si="15"/>
        <v>0</v>
      </c>
      <c r="AE65" s="16"/>
      <c r="AF65" s="16">
        <f t="shared" si="16"/>
        <v>0</v>
      </c>
      <c r="AG65" s="16"/>
      <c r="AH65" s="16">
        <f t="shared" si="17"/>
        <v>0</v>
      </c>
      <c r="AI65" s="16"/>
      <c r="AJ65" s="16">
        <f t="shared" si="18"/>
        <v>0</v>
      </c>
      <c r="AK65" s="16"/>
      <c r="AL65" s="16">
        <f t="shared" si="19"/>
        <v>0</v>
      </c>
      <c r="AM65" s="16"/>
      <c r="AN65" s="16">
        <f t="shared" si="2"/>
        <v>0</v>
      </c>
      <c r="AO65" s="16"/>
      <c r="AP65" s="16">
        <f t="shared" si="20"/>
        <v>0</v>
      </c>
      <c r="AQ65" s="16"/>
      <c r="AR65" s="16">
        <f t="shared" si="21"/>
        <v>0</v>
      </c>
      <c r="AS65" s="16"/>
      <c r="AT65" s="16">
        <f t="shared" si="22"/>
        <v>0</v>
      </c>
      <c r="AU65" s="16"/>
      <c r="AV65" s="16">
        <f t="shared" si="23"/>
        <v>0</v>
      </c>
      <c r="AW65" s="16"/>
      <c r="AX65" s="16">
        <f t="shared" si="3"/>
        <v>0</v>
      </c>
      <c r="AY65" s="16"/>
      <c r="AZ65" s="16">
        <f t="shared" si="24"/>
        <v>0</v>
      </c>
      <c r="BA65" s="16"/>
      <c r="BB65" s="16">
        <f t="shared" si="25"/>
        <v>0</v>
      </c>
      <c r="BC65" s="11">
        <f t="shared" si="4"/>
        <v>1189808</v>
      </c>
      <c r="BD65" s="17"/>
      <c r="BE65" s="17"/>
      <c r="BF65" s="17">
        <v>20</v>
      </c>
      <c r="BG65" s="16">
        <f t="shared" si="5"/>
        <v>460000</v>
      </c>
      <c r="BH65" s="17"/>
      <c r="BI65" s="17"/>
    </row>
    <row r="66" spans="1:61" ht="12.75">
      <c r="A66" s="38">
        <v>35944</v>
      </c>
      <c r="B66" s="39" t="s">
        <v>366</v>
      </c>
      <c r="C66" s="40" t="s">
        <v>372</v>
      </c>
      <c r="D66" s="40" t="s">
        <v>821</v>
      </c>
      <c r="E66" s="17"/>
      <c r="F66" s="16">
        <f t="shared" si="0"/>
        <v>0</v>
      </c>
      <c r="G66" s="17"/>
      <c r="H66" s="16">
        <f t="shared" si="1"/>
        <v>0</v>
      </c>
      <c r="I66" s="16"/>
      <c r="J66" s="16">
        <f t="shared" si="6"/>
        <v>0</v>
      </c>
      <c r="K66" s="16"/>
      <c r="L66" s="16">
        <f t="shared" si="7"/>
        <v>0</v>
      </c>
      <c r="M66" s="16">
        <v>36</v>
      </c>
      <c r="N66" s="16">
        <f t="shared" si="8"/>
        <v>89467.2</v>
      </c>
      <c r="O66" s="16"/>
      <c r="P66" s="16">
        <f t="shared" si="9"/>
        <v>0</v>
      </c>
      <c r="Q66" s="16"/>
      <c r="R66" s="16">
        <f t="shared" si="10"/>
        <v>0</v>
      </c>
      <c r="S66" s="16"/>
      <c r="T66" s="16">
        <f t="shared" si="11"/>
        <v>0</v>
      </c>
      <c r="U66" s="16"/>
      <c r="V66" s="16">
        <f t="shared" si="12"/>
        <v>0</v>
      </c>
      <c r="W66" s="16"/>
      <c r="X66" s="16"/>
      <c r="Y66" s="16"/>
      <c r="Z66" s="16">
        <f t="shared" si="13"/>
        <v>0</v>
      </c>
      <c r="AA66" s="16"/>
      <c r="AB66" s="16">
        <f t="shared" si="14"/>
        <v>0</v>
      </c>
      <c r="AC66" s="16"/>
      <c r="AD66" s="16">
        <f t="shared" si="15"/>
        <v>0</v>
      </c>
      <c r="AE66" s="16"/>
      <c r="AF66" s="16">
        <f t="shared" si="16"/>
        <v>0</v>
      </c>
      <c r="AG66" s="16"/>
      <c r="AH66" s="16">
        <f t="shared" si="17"/>
        <v>0</v>
      </c>
      <c r="AI66" s="16"/>
      <c r="AJ66" s="16">
        <f t="shared" si="18"/>
        <v>0</v>
      </c>
      <c r="AK66" s="16"/>
      <c r="AL66" s="16">
        <f t="shared" si="19"/>
        <v>0</v>
      </c>
      <c r="AM66" s="16"/>
      <c r="AN66" s="16">
        <f t="shared" si="2"/>
        <v>0</v>
      </c>
      <c r="AO66" s="16"/>
      <c r="AP66" s="16">
        <f t="shared" si="20"/>
        <v>0</v>
      </c>
      <c r="AQ66" s="16"/>
      <c r="AR66" s="16">
        <f t="shared" si="21"/>
        <v>0</v>
      </c>
      <c r="AS66" s="16"/>
      <c r="AT66" s="16">
        <f t="shared" si="22"/>
        <v>0</v>
      </c>
      <c r="AU66" s="16"/>
      <c r="AV66" s="16">
        <f t="shared" si="23"/>
        <v>0</v>
      </c>
      <c r="AW66" s="16"/>
      <c r="AX66" s="16">
        <f t="shared" si="3"/>
        <v>0</v>
      </c>
      <c r="AY66" s="16"/>
      <c r="AZ66" s="16">
        <f t="shared" si="24"/>
        <v>0</v>
      </c>
      <c r="BA66" s="16"/>
      <c r="BB66" s="16">
        <f t="shared" si="25"/>
        <v>0</v>
      </c>
      <c r="BC66" s="11">
        <f t="shared" si="4"/>
        <v>89467.2</v>
      </c>
      <c r="BD66" s="17"/>
      <c r="BE66" s="17"/>
      <c r="BF66" s="17">
        <v>12</v>
      </c>
      <c r="BG66" s="16">
        <f t="shared" si="5"/>
        <v>276000</v>
      </c>
      <c r="BH66" s="17"/>
      <c r="BI66" s="17"/>
    </row>
    <row r="67" spans="1:61" ht="12.75">
      <c r="A67" s="38">
        <v>35921</v>
      </c>
      <c r="B67" s="39" t="s">
        <v>899</v>
      </c>
      <c r="C67" s="40" t="s">
        <v>875</v>
      </c>
      <c r="D67" s="40" t="s">
        <v>821</v>
      </c>
      <c r="E67" s="17">
        <v>1000</v>
      </c>
      <c r="F67" s="16">
        <f t="shared" si="0"/>
        <v>348000</v>
      </c>
      <c r="G67" s="17">
        <v>1000</v>
      </c>
      <c r="H67" s="16">
        <f t="shared" si="1"/>
        <v>295800</v>
      </c>
      <c r="I67" s="16"/>
      <c r="J67" s="16">
        <f t="shared" si="6"/>
        <v>0</v>
      </c>
      <c r="K67" s="16"/>
      <c r="L67" s="16">
        <f t="shared" si="7"/>
        <v>0</v>
      </c>
      <c r="M67" s="16"/>
      <c r="N67" s="16">
        <f t="shared" si="8"/>
        <v>0</v>
      </c>
      <c r="O67" s="16"/>
      <c r="P67" s="16">
        <f t="shared" si="9"/>
        <v>0</v>
      </c>
      <c r="Q67" s="16">
        <v>1000</v>
      </c>
      <c r="R67" s="16">
        <f t="shared" si="10"/>
        <v>27260000</v>
      </c>
      <c r="S67" s="16">
        <v>1000</v>
      </c>
      <c r="T67" s="16">
        <f t="shared" si="11"/>
        <v>1885000</v>
      </c>
      <c r="U67" s="16">
        <v>1000</v>
      </c>
      <c r="V67" s="16">
        <f t="shared" si="12"/>
        <v>580640</v>
      </c>
      <c r="W67" s="16"/>
      <c r="X67" s="16"/>
      <c r="Y67" s="16"/>
      <c r="Z67" s="16">
        <f t="shared" si="13"/>
        <v>0</v>
      </c>
      <c r="AA67" s="16"/>
      <c r="AB67" s="16">
        <f t="shared" si="14"/>
        <v>0</v>
      </c>
      <c r="AC67" s="16">
        <v>1000</v>
      </c>
      <c r="AD67" s="16">
        <f t="shared" si="15"/>
        <v>626400</v>
      </c>
      <c r="AE67" s="16">
        <v>1000</v>
      </c>
      <c r="AF67" s="16">
        <f t="shared" si="16"/>
        <v>2040440</v>
      </c>
      <c r="AG67" s="16"/>
      <c r="AH67" s="16">
        <f t="shared" si="17"/>
        <v>0</v>
      </c>
      <c r="AI67" s="16"/>
      <c r="AJ67" s="16">
        <f t="shared" si="18"/>
        <v>0</v>
      </c>
      <c r="AK67" s="16">
        <v>1000</v>
      </c>
      <c r="AL67" s="16">
        <f t="shared" si="19"/>
        <v>63800</v>
      </c>
      <c r="AM67" s="16"/>
      <c r="AN67" s="16">
        <f t="shared" si="2"/>
        <v>0</v>
      </c>
      <c r="AO67" s="16">
        <v>1000</v>
      </c>
      <c r="AP67" s="16">
        <f t="shared" si="20"/>
        <v>272600</v>
      </c>
      <c r="AQ67" s="16">
        <v>1000</v>
      </c>
      <c r="AR67" s="16">
        <f t="shared" si="21"/>
        <v>324800</v>
      </c>
      <c r="AS67" s="16"/>
      <c r="AT67" s="16">
        <f t="shared" si="22"/>
        <v>0</v>
      </c>
      <c r="AU67" s="16"/>
      <c r="AV67" s="16">
        <f t="shared" si="23"/>
        <v>0</v>
      </c>
      <c r="AW67" s="16">
        <v>1000</v>
      </c>
      <c r="AX67" s="16">
        <f t="shared" si="3"/>
        <v>6342130</v>
      </c>
      <c r="AY67" s="16"/>
      <c r="AZ67" s="16">
        <f t="shared" si="24"/>
        <v>0</v>
      </c>
      <c r="BA67" s="16">
        <v>1000</v>
      </c>
      <c r="BB67" s="16">
        <f t="shared" si="25"/>
        <v>7141470</v>
      </c>
      <c r="BC67" s="11">
        <f t="shared" si="4"/>
        <v>47181080</v>
      </c>
      <c r="BD67" s="17"/>
      <c r="BE67" s="17"/>
      <c r="BF67" s="17">
        <v>1500</v>
      </c>
      <c r="BG67" s="16">
        <f t="shared" si="5"/>
        <v>34500000</v>
      </c>
      <c r="BH67" s="17">
        <v>2000</v>
      </c>
      <c r="BI67" s="16">
        <f>+BH67*6885.76</f>
        <v>13771520</v>
      </c>
    </row>
    <row r="68" spans="1:61" ht="12.75">
      <c r="A68" s="38">
        <v>35927</v>
      </c>
      <c r="B68" s="39" t="s">
        <v>904</v>
      </c>
      <c r="C68" s="40" t="s">
        <v>875</v>
      </c>
      <c r="D68" s="40" t="s">
        <v>821</v>
      </c>
      <c r="E68" s="17"/>
      <c r="F68" s="16">
        <f t="shared" si="0"/>
        <v>0</v>
      </c>
      <c r="G68" s="17"/>
      <c r="H68" s="16">
        <f t="shared" si="1"/>
        <v>0</v>
      </c>
      <c r="I68" s="16"/>
      <c r="J68" s="16">
        <f t="shared" si="6"/>
        <v>0</v>
      </c>
      <c r="K68" s="16"/>
      <c r="L68" s="16">
        <f t="shared" si="7"/>
        <v>0</v>
      </c>
      <c r="M68" s="16"/>
      <c r="N68" s="16">
        <f t="shared" si="8"/>
        <v>0</v>
      </c>
      <c r="O68" s="16"/>
      <c r="P68" s="16">
        <f t="shared" si="9"/>
        <v>0</v>
      </c>
      <c r="Q68" s="16"/>
      <c r="R68" s="16">
        <f t="shared" si="10"/>
        <v>0</v>
      </c>
      <c r="S68" s="16"/>
      <c r="T68" s="16">
        <f t="shared" si="11"/>
        <v>0</v>
      </c>
      <c r="U68" s="16"/>
      <c r="V68" s="16">
        <f t="shared" si="12"/>
        <v>0</v>
      </c>
      <c r="W68" s="16"/>
      <c r="X68" s="16"/>
      <c r="Y68" s="16"/>
      <c r="Z68" s="16">
        <f t="shared" si="13"/>
        <v>0</v>
      </c>
      <c r="AA68" s="16"/>
      <c r="AB68" s="16">
        <f t="shared" si="14"/>
        <v>0</v>
      </c>
      <c r="AC68" s="16"/>
      <c r="AD68" s="16">
        <f t="shared" si="15"/>
        <v>0</v>
      </c>
      <c r="AE68" s="16"/>
      <c r="AF68" s="16">
        <f t="shared" si="16"/>
        <v>0</v>
      </c>
      <c r="AG68" s="16"/>
      <c r="AH68" s="16">
        <f t="shared" si="17"/>
        <v>0</v>
      </c>
      <c r="AI68" s="16"/>
      <c r="AJ68" s="16">
        <f t="shared" si="18"/>
        <v>0</v>
      </c>
      <c r="AK68" s="16"/>
      <c r="AL68" s="16">
        <f t="shared" si="19"/>
        <v>0</v>
      </c>
      <c r="AM68" s="16"/>
      <c r="AN68" s="16">
        <f t="shared" si="2"/>
        <v>0</v>
      </c>
      <c r="AO68" s="16"/>
      <c r="AP68" s="16">
        <f t="shared" si="20"/>
        <v>0</v>
      </c>
      <c r="AQ68" s="16"/>
      <c r="AR68" s="16">
        <f t="shared" si="21"/>
        <v>0</v>
      </c>
      <c r="AS68" s="16"/>
      <c r="AT68" s="16">
        <f t="shared" si="22"/>
        <v>0</v>
      </c>
      <c r="AU68" s="16"/>
      <c r="AV68" s="16">
        <f t="shared" si="23"/>
        <v>0</v>
      </c>
      <c r="AW68" s="16"/>
      <c r="AX68" s="16">
        <f t="shared" si="3"/>
        <v>0</v>
      </c>
      <c r="AY68" s="16"/>
      <c r="AZ68" s="16">
        <f t="shared" si="24"/>
        <v>0</v>
      </c>
      <c r="BA68" s="16"/>
      <c r="BB68" s="16">
        <f t="shared" si="25"/>
        <v>0</v>
      </c>
      <c r="BC68" s="11">
        <f t="shared" si="4"/>
        <v>0</v>
      </c>
      <c r="BD68" s="17">
        <v>10000</v>
      </c>
      <c r="BE68" s="17">
        <f>+BD68*440.8</f>
        <v>4408000</v>
      </c>
      <c r="BF68" s="17">
        <v>93</v>
      </c>
      <c r="BG68" s="16">
        <f t="shared" si="5"/>
        <v>2139000</v>
      </c>
      <c r="BH68" s="17"/>
      <c r="BI68" s="17"/>
    </row>
    <row r="69" spans="1:61" ht="12.75">
      <c r="A69" s="38">
        <v>35940</v>
      </c>
      <c r="B69" s="39" t="s">
        <v>904</v>
      </c>
      <c r="C69" s="40" t="s">
        <v>396</v>
      </c>
      <c r="D69" s="40" t="s">
        <v>821</v>
      </c>
      <c r="E69" s="17"/>
      <c r="F69" s="16">
        <f t="shared" si="0"/>
        <v>0</v>
      </c>
      <c r="G69" s="17"/>
      <c r="H69" s="16">
        <f t="shared" si="1"/>
        <v>0</v>
      </c>
      <c r="I69" s="16"/>
      <c r="J69" s="16">
        <f t="shared" si="6"/>
        <v>0</v>
      </c>
      <c r="K69" s="16"/>
      <c r="L69" s="16">
        <f t="shared" si="7"/>
        <v>0</v>
      </c>
      <c r="M69" s="16"/>
      <c r="N69" s="16">
        <f t="shared" si="8"/>
        <v>0</v>
      </c>
      <c r="O69" s="16"/>
      <c r="P69" s="16">
        <f t="shared" si="9"/>
        <v>0</v>
      </c>
      <c r="Q69" s="16"/>
      <c r="R69" s="16">
        <f t="shared" si="10"/>
        <v>0</v>
      </c>
      <c r="S69" s="16"/>
      <c r="T69" s="16">
        <f t="shared" si="11"/>
        <v>0</v>
      </c>
      <c r="U69" s="16"/>
      <c r="V69" s="16">
        <f t="shared" si="12"/>
        <v>0</v>
      </c>
      <c r="W69" s="16"/>
      <c r="X69" s="16"/>
      <c r="Y69" s="16"/>
      <c r="Z69" s="16">
        <f t="shared" si="13"/>
        <v>0</v>
      </c>
      <c r="AA69" s="16"/>
      <c r="AB69" s="16">
        <f t="shared" si="14"/>
        <v>0</v>
      </c>
      <c r="AC69" s="16"/>
      <c r="AD69" s="16">
        <f t="shared" si="15"/>
        <v>0</v>
      </c>
      <c r="AE69" s="16"/>
      <c r="AF69" s="16">
        <f t="shared" si="16"/>
        <v>0</v>
      </c>
      <c r="AG69" s="16"/>
      <c r="AH69" s="16">
        <f t="shared" si="17"/>
        <v>0</v>
      </c>
      <c r="AI69" s="16"/>
      <c r="AJ69" s="16">
        <f t="shared" si="18"/>
        <v>0</v>
      </c>
      <c r="AK69" s="16"/>
      <c r="AL69" s="16">
        <f t="shared" si="19"/>
        <v>0</v>
      </c>
      <c r="AM69" s="16"/>
      <c r="AN69" s="16">
        <f t="shared" si="2"/>
        <v>0</v>
      </c>
      <c r="AO69" s="16"/>
      <c r="AP69" s="16">
        <f t="shared" si="20"/>
        <v>0</v>
      </c>
      <c r="AQ69" s="16"/>
      <c r="AR69" s="16">
        <f t="shared" si="21"/>
        <v>0</v>
      </c>
      <c r="AS69" s="16"/>
      <c r="AT69" s="16">
        <f t="shared" si="22"/>
        <v>0</v>
      </c>
      <c r="AU69" s="16"/>
      <c r="AV69" s="16">
        <f t="shared" si="23"/>
        <v>0</v>
      </c>
      <c r="AW69" s="16"/>
      <c r="AX69" s="16">
        <f t="shared" si="3"/>
        <v>0</v>
      </c>
      <c r="AY69" s="16"/>
      <c r="AZ69" s="16">
        <f t="shared" si="24"/>
        <v>0</v>
      </c>
      <c r="BA69" s="16"/>
      <c r="BB69" s="16">
        <f t="shared" si="25"/>
        <v>0</v>
      </c>
      <c r="BC69" s="11">
        <f aca="true" t="shared" si="26" ref="BC69:BC132">SUM(F69+H69+J69+L69+N69+P69+R69+T69+V69+X69+Z69+AB69+AD69+AF69+AH69+AJ69+AL69+AN69+AP69+AR69+AT69+AV69+AX69+AZ69+BB69)</f>
        <v>0</v>
      </c>
      <c r="BD69" s="17"/>
      <c r="BE69" s="17"/>
      <c r="BF69" s="17">
        <v>50</v>
      </c>
      <c r="BG69" s="16">
        <f t="shared" si="5"/>
        <v>1150000</v>
      </c>
      <c r="BH69" s="17"/>
      <c r="BI69" s="17"/>
    </row>
    <row r="70" spans="1:61" ht="12.75">
      <c r="A70" s="38">
        <v>35944</v>
      </c>
      <c r="B70" s="39" t="s">
        <v>100</v>
      </c>
      <c r="C70" s="40" t="s">
        <v>398</v>
      </c>
      <c r="D70" s="40" t="s">
        <v>821</v>
      </c>
      <c r="E70" s="17">
        <v>345</v>
      </c>
      <c r="F70" s="16">
        <f t="shared" si="0"/>
        <v>120060</v>
      </c>
      <c r="G70" s="17">
        <v>345</v>
      </c>
      <c r="H70" s="16">
        <f t="shared" si="1"/>
        <v>102051</v>
      </c>
      <c r="I70" s="16"/>
      <c r="J70" s="16">
        <f t="shared" si="6"/>
        <v>0</v>
      </c>
      <c r="K70" s="16"/>
      <c r="L70" s="16">
        <f t="shared" si="7"/>
        <v>0</v>
      </c>
      <c r="M70" s="16"/>
      <c r="N70" s="16">
        <f t="shared" si="8"/>
        <v>0</v>
      </c>
      <c r="O70" s="16"/>
      <c r="P70" s="16">
        <f t="shared" si="9"/>
        <v>0</v>
      </c>
      <c r="Q70" s="16">
        <v>690</v>
      </c>
      <c r="R70" s="16">
        <f t="shared" si="10"/>
        <v>18809400</v>
      </c>
      <c r="S70" s="16">
        <v>345</v>
      </c>
      <c r="T70" s="16">
        <f t="shared" si="11"/>
        <v>650325</v>
      </c>
      <c r="U70" s="16">
        <v>345</v>
      </c>
      <c r="V70" s="16">
        <f t="shared" si="12"/>
        <v>200320.8</v>
      </c>
      <c r="W70" s="16"/>
      <c r="X70" s="16"/>
      <c r="Y70" s="16"/>
      <c r="Z70" s="16">
        <f t="shared" si="13"/>
        <v>0</v>
      </c>
      <c r="AA70" s="16"/>
      <c r="AB70" s="16">
        <f t="shared" si="14"/>
        <v>0</v>
      </c>
      <c r="AC70" s="16">
        <v>345</v>
      </c>
      <c r="AD70" s="16">
        <f t="shared" si="15"/>
        <v>216108</v>
      </c>
      <c r="AE70" s="16">
        <v>690</v>
      </c>
      <c r="AF70" s="16">
        <f t="shared" si="16"/>
        <v>1407903.6</v>
      </c>
      <c r="AG70" s="16"/>
      <c r="AH70" s="16">
        <f t="shared" si="17"/>
        <v>0</v>
      </c>
      <c r="AI70" s="16"/>
      <c r="AJ70" s="16">
        <f t="shared" si="18"/>
        <v>0</v>
      </c>
      <c r="AK70" s="16">
        <v>345</v>
      </c>
      <c r="AL70" s="16">
        <f t="shared" si="19"/>
        <v>22011</v>
      </c>
      <c r="AM70" s="16"/>
      <c r="AN70" s="16">
        <f t="shared" si="2"/>
        <v>0</v>
      </c>
      <c r="AO70" s="16">
        <v>690</v>
      </c>
      <c r="AP70" s="16">
        <f t="shared" si="20"/>
        <v>188094.00000000003</v>
      </c>
      <c r="AQ70" s="16">
        <v>690</v>
      </c>
      <c r="AR70" s="16">
        <f t="shared" si="21"/>
        <v>224112</v>
      </c>
      <c r="AS70" s="16">
        <v>690</v>
      </c>
      <c r="AT70" s="16">
        <f t="shared" si="22"/>
        <v>223422</v>
      </c>
      <c r="AU70" s="16"/>
      <c r="AV70" s="16">
        <f t="shared" si="23"/>
        <v>0</v>
      </c>
      <c r="AW70" s="16">
        <v>690</v>
      </c>
      <c r="AX70" s="16">
        <f t="shared" si="3"/>
        <v>4376069.7</v>
      </c>
      <c r="AY70" s="16"/>
      <c r="AZ70" s="16">
        <f t="shared" si="24"/>
        <v>0</v>
      </c>
      <c r="BA70" s="16"/>
      <c r="BB70" s="16">
        <f t="shared" si="25"/>
        <v>0</v>
      </c>
      <c r="BC70" s="11">
        <f t="shared" si="26"/>
        <v>26539877.1</v>
      </c>
      <c r="BD70" s="17"/>
      <c r="BE70" s="17"/>
      <c r="BF70" s="17">
        <v>350</v>
      </c>
      <c r="BG70" s="16">
        <f t="shared" si="5"/>
        <v>8050000</v>
      </c>
      <c r="BH70" s="17">
        <v>1500</v>
      </c>
      <c r="BI70" s="16">
        <f>+BH70*6885.76</f>
        <v>10328640</v>
      </c>
    </row>
    <row r="71" spans="1:61" ht="12.75">
      <c r="A71" s="38">
        <v>35944</v>
      </c>
      <c r="B71" s="39" t="s">
        <v>100</v>
      </c>
      <c r="C71" s="40" t="s">
        <v>875</v>
      </c>
      <c r="D71" s="40" t="s">
        <v>821</v>
      </c>
      <c r="E71" s="17"/>
      <c r="F71" s="16">
        <f t="shared" si="0"/>
        <v>0</v>
      </c>
      <c r="G71" s="17"/>
      <c r="H71" s="16">
        <f t="shared" si="1"/>
        <v>0</v>
      </c>
      <c r="I71" s="16"/>
      <c r="J71" s="16">
        <f t="shared" si="6"/>
        <v>0</v>
      </c>
      <c r="K71" s="16"/>
      <c r="L71" s="16">
        <f t="shared" si="7"/>
        <v>0</v>
      </c>
      <c r="M71" s="16"/>
      <c r="N71" s="16">
        <f t="shared" si="8"/>
        <v>0</v>
      </c>
      <c r="O71" s="16"/>
      <c r="P71" s="16">
        <f t="shared" si="9"/>
        <v>0</v>
      </c>
      <c r="Q71" s="16"/>
      <c r="R71" s="16">
        <f t="shared" si="10"/>
        <v>0</v>
      </c>
      <c r="S71" s="16"/>
      <c r="T71" s="16">
        <f t="shared" si="11"/>
        <v>0</v>
      </c>
      <c r="U71" s="16"/>
      <c r="V71" s="16">
        <f t="shared" si="12"/>
        <v>0</v>
      </c>
      <c r="W71" s="16"/>
      <c r="X71" s="16"/>
      <c r="Y71" s="16"/>
      <c r="Z71" s="16">
        <f t="shared" si="13"/>
        <v>0</v>
      </c>
      <c r="AA71" s="16"/>
      <c r="AB71" s="16">
        <f t="shared" si="14"/>
        <v>0</v>
      </c>
      <c r="AC71" s="16"/>
      <c r="AD71" s="16">
        <f t="shared" si="15"/>
        <v>0</v>
      </c>
      <c r="AE71" s="16"/>
      <c r="AF71" s="16">
        <f t="shared" si="16"/>
        <v>0</v>
      </c>
      <c r="AG71" s="16"/>
      <c r="AH71" s="16">
        <f t="shared" si="17"/>
        <v>0</v>
      </c>
      <c r="AI71" s="16"/>
      <c r="AJ71" s="16">
        <f t="shared" si="18"/>
        <v>0</v>
      </c>
      <c r="AK71" s="16"/>
      <c r="AL71" s="16">
        <f t="shared" si="19"/>
        <v>0</v>
      </c>
      <c r="AM71" s="16"/>
      <c r="AN71" s="16">
        <f t="shared" si="2"/>
        <v>0</v>
      </c>
      <c r="AO71" s="16"/>
      <c r="AP71" s="16">
        <f t="shared" si="20"/>
        <v>0</v>
      </c>
      <c r="AQ71" s="16"/>
      <c r="AR71" s="16">
        <f t="shared" si="21"/>
        <v>0</v>
      </c>
      <c r="AS71" s="16"/>
      <c r="AT71" s="16">
        <f t="shared" si="22"/>
        <v>0</v>
      </c>
      <c r="AU71" s="16"/>
      <c r="AV71" s="16">
        <f t="shared" si="23"/>
        <v>0</v>
      </c>
      <c r="AW71" s="16"/>
      <c r="AX71" s="16">
        <f t="shared" si="3"/>
        <v>0</v>
      </c>
      <c r="AY71" s="16"/>
      <c r="AZ71" s="16">
        <f t="shared" si="24"/>
        <v>0</v>
      </c>
      <c r="BA71" s="16"/>
      <c r="BB71" s="16">
        <f t="shared" si="25"/>
        <v>0</v>
      </c>
      <c r="BC71" s="11">
        <f t="shared" si="26"/>
        <v>0</v>
      </c>
      <c r="BD71" s="17"/>
      <c r="BE71" s="17"/>
      <c r="BF71" s="17">
        <v>400</v>
      </c>
      <c r="BG71" s="16">
        <f t="shared" si="5"/>
        <v>9200000</v>
      </c>
      <c r="BH71" s="17"/>
      <c r="BI71" s="17"/>
    </row>
    <row r="72" spans="1:61" ht="12.75">
      <c r="A72" s="38">
        <v>35922</v>
      </c>
      <c r="B72" s="39" t="s">
        <v>49</v>
      </c>
      <c r="C72" s="40" t="s">
        <v>875</v>
      </c>
      <c r="D72" s="40" t="s">
        <v>821</v>
      </c>
      <c r="E72" s="17">
        <v>423</v>
      </c>
      <c r="F72" s="16">
        <f t="shared" si="0"/>
        <v>147204</v>
      </c>
      <c r="G72" s="17">
        <v>423</v>
      </c>
      <c r="H72" s="16">
        <f t="shared" si="1"/>
        <v>125123.40000000001</v>
      </c>
      <c r="I72" s="16"/>
      <c r="J72" s="16">
        <f t="shared" si="6"/>
        <v>0</v>
      </c>
      <c r="K72" s="16"/>
      <c r="L72" s="16">
        <f t="shared" si="7"/>
        <v>0</v>
      </c>
      <c r="M72" s="16"/>
      <c r="N72" s="16">
        <f t="shared" si="8"/>
        <v>0</v>
      </c>
      <c r="O72" s="16"/>
      <c r="P72" s="16">
        <f t="shared" si="9"/>
        <v>0</v>
      </c>
      <c r="Q72" s="16">
        <v>423</v>
      </c>
      <c r="R72" s="16">
        <f t="shared" si="10"/>
        <v>11530980</v>
      </c>
      <c r="S72" s="16">
        <v>423</v>
      </c>
      <c r="T72" s="16">
        <f t="shared" si="11"/>
        <v>797355</v>
      </c>
      <c r="U72" s="16">
        <v>423</v>
      </c>
      <c r="V72" s="16">
        <f t="shared" si="12"/>
        <v>245610.72</v>
      </c>
      <c r="W72" s="16"/>
      <c r="X72" s="16"/>
      <c r="Y72" s="16"/>
      <c r="Z72" s="16">
        <f t="shared" si="13"/>
        <v>0</v>
      </c>
      <c r="AA72" s="16"/>
      <c r="AB72" s="16">
        <f t="shared" si="14"/>
        <v>0</v>
      </c>
      <c r="AC72" s="16">
        <v>423</v>
      </c>
      <c r="AD72" s="16">
        <f t="shared" si="15"/>
        <v>264967.2</v>
      </c>
      <c r="AE72" s="16">
        <v>423</v>
      </c>
      <c r="AF72" s="16">
        <f t="shared" si="16"/>
        <v>863106.12</v>
      </c>
      <c r="AG72" s="16"/>
      <c r="AH72" s="16">
        <f t="shared" si="17"/>
        <v>0</v>
      </c>
      <c r="AI72" s="16"/>
      <c r="AJ72" s="16">
        <f t="shared" si="18"/>
        <v>0</v>
      </c>
      <c r="AK72" s="16">
        <v>423</v>
      </c>
      <c r="AL72" s="16">
        <f t="shared" si="19"/>
        <v>26987.399999999998</v>
      </c>
      <c r="AM72" s="16"/>
      <c r="AN72" s="16">
        <f t="shared" si="2"/>
        <v>0</v>
      </c>
      <c r="AO72" s="16">
        <v>423</v>
      </c>
      <c r="AP72" s="16">
        <f t="shared" si="20"/>
        <v>115309.8</v>
      </c>
      <c r="AQ72" s="16">
        <v>423</v>
      </c>
      <c r="AR72" s="16">
        <f t="shared" si="21"/>
        <v>137390.4</v>
      </c>
      <c r="AS72" s="16"/>
      <c r="AT72" s="16">
        <f t="shared" si="22"/>
        <v>0</v>
      </c>
      <c r="AU72" s="16">
        <v>423</v>
      </c>
      <c r="AV72" s="16">
        <f t="shared" si="23"/>
        <v>2735016.48</v>
      </c>
      <c r="AW72" s="16">
        <v>423</v>
      </c>
      <c r="AX72" s="16">
        <f t="shared" si="3"/>
        <v>2682720.99</v>
      </c>
      <c r="AY72" s="16"/>
      <c r="AZ72" s="16">
        <f t="shared" si="24"/>
        <v>0</v>
      </c>
      <c r="BA72" s="16">
        <v>423</v>
      </c>
      <c r="BB72" s="16">
        <f t="shared" si="25"/>
        <v>3020841.81</v>
      </c>
      <c r="BC72" s="11">
        <f t="shared" si="26"/>
        <v>22692613.319999997</v>
      </c>
      <c r="BD72" s="17"/>
      <c r="BE72" s="17"/>
      <c r="BF72" s="17">
        <v>141</v>
      </c>
      <c r="BG72" s="16">
        <f t="shared" si="5"/>
        <v>3243000</v>
      </c>
      <c r="BH72" s="17"/>
      <c r="BI72" s="17"/>
    </row>
    <row r="73" spans="1:61" ht="12.75">
      <c r="A73" s="38">
        <v>35925</v>
      </c>
      <c r="B73" s="39" t="s">
        <v>49</v>
      </c>
      <c r="C73" s="40" t="s">
        <v>424</v>
      </c>
      <c r="D73" s="40" t="s">
        <v>911</v>
      </c>
      <c r="E73" s="17">
        <v>75</v>
      </c>
      <c r="F73" s="16">
        <f t="shared" si="0"/>
        <v>26100</v>
      </c>
      <c r="G73" s="17">
        <v>75</v>
      </c>
      <c r="H73" s="16">
        <f t="shared" si="1"/>
        <v>22185</v>
      </c>
      <c r="I73" s="16"/>
      <c r="J73" s="16">
        <f t="shared" si="6"/>
        <v>0</v>
      </c>
      <c r="K73" s="16"/>
      <c r="L73" s="16">
        <f t="shared" si="7"/>
        <v>0</v>
      </c>
      <c r="M73" s="16"/>
      <c r="N73" s="16">
        <f t="shared" si="8"/>
        <v>0</v>
      </c>
      <c r="O73" s="16"/>
      <c r="P73" s="16">
        <f t="shared" si="9"/>
        <v>0</v>
      </c>
      <c r="Q73" s="16">
        <v>75</v>
      </c>
      <c r="R73" s="16">
        <f t="shared" si="10"/>
        <v>2044500</v>
      </c>
      <c r="S73" s="16">
        <v>75</v>
      </c>
      <c r="T73" s="16">
        <f t="shared" si="11"/>
        <v>141375</v>
      </c>
      <c r="U73" s="16">
        <v>75</v>
      </c>
      <c r="V73" s="16">
        <f t="shared" si="12"/>
        <v>43548</v>
      </c>
      <c r="W73" s="16"/>
      <c r="X73" s="16"/>
      <c r="Y73" s="16"/>
      <c r="Z73" s="16">
        <f t="shared" si="13"/>
        <v>0</v>
      </c>
      <c r="AA73" s="16"/>
      <c r="AB73" s="16">
        <f t="shared" si="14"/>
        <v>0</v>
      </c>
      <c r="AC73" s="16">
        <v>75</v>
      </c>
      <c r="AD73" s="16">
        <f t="shared" si="15"/>
        <v>46980</v>
      </c>
      <c r="AE73" s="16">
        <v>75</v>
      </c>
      <c r="AF73" s="16">
        <f t="shared" si="16"/>
        <v>153033</v>
      </c>
      <c r="AG73" s="16"/>
      <c r="AH73" s="16">
        <f t="shared" si="17"/>
        <v>0</v>
      </c>
      <c r="AI73" s="16"/>
      <c r="AJ73" s="16">
        <f t="shared" si="18"/>
        <v>0</v>
      </c>
      <c r="AK73" s="16">
        <v>75</v>
      </c>
      <c r="AL73" s="16">
        <f t="shared" si="19"/>
        <v>4785</v>
      </c>
      <c r="AM73" s="16"/>
      <c r="AN73" s="16">
        <f t="shared" si="2"/>
        <v>0</v>
      </c>
      <c r="AO73" s="16">
        <v>75</v>
      </c>
      <c r="AP73" s="16">
        <f t="shared" si="20"/>
        <v>20445</v>
      </c>
      <c r="AQ73" s="16">
        <v>75</v>
      </c>
      <c r="AR73" s="16">
        <f t="shared" si="21"/>
        <v>24360</v>
      </c>
      <c r="AS73" s="16">
        <v>75</v>
      </c>
      <c r="AT73" s="16">
        <f t="shared" si="22"/>
        <v>24285</v>
      </c>
      <c r="AU73" s="16">
        <v>75</v>
      </c>
      <c r="AV73" s="16">
        <f t="shared" si="23"/>
        <v>484932</v>
      </c>
      <c r="AW73" s="16">
        <v>75</v>
      </c>
      <c r="AX73" s="16">
        <f t="shared" si="3"/>
        <v>475659.75</v>
      </c>
      <c r="AY73" s="16"/>
      <c r="AZ73" s="16">
        <f t="shared" si="24"/>
        <v>0</v>
      </c>
      <c r="BA73" s="16"/>
      <c r="BB73" s="16">
        <f t="shared" si="25"/>
        <v>0</v>
      </c>
      <c r="BC73" s="11">
        <f t="shared" si="26"/>
        <v>3512187.75</v>
      </c>
      <c r="BD73" s="17"/>
      <c r="BE73" s="17"/>
      <c r="BF73" s="17"/>
      <c r="BG73" s="16">
        <f t="shared" si="5"/>
        <v>0</v>
      </c>
      <c r="BH73" s="17"/>
      <c r="BI73" s="17"/>
    </row>
    <row r="74" spans="1:61" ht="12.75">
      <c r="A74" s="38">
        <v>35972</v>
      </c>
      <c r="B74" s="39" t="s">
        <v>820</v>
      </c>
      <c r="C74" s="40" t="s">
        <v>433</v>
      </c>
      <c r="D74" s="40" t="s">
        <v>821</v>
      </c>
      <c r="E74" s="17"/>
      <c r="F74" s="16">
        <f t="shared" si="0"/>
        <v>0</v>
      </c>
      <c r="G74" s="17"/>
      <c r="H74" s="16">
        <f t="shared" si="1"/>
        <v>0</v>
      </c>
      <c r="I74" s="16"/>
      <c r="J74" s="16">
        <f t="shared" si="6"/>
        <v>0</v>
      </c>
      <c r="K74" s="16"/>
      <c r="L74" s="16">
        <f t="shared" si="7"/>
        <v>0</v>
      </c>
      <c r="M74" s="16"/>
      <c r="N74" s="16">
        <f t="shared" si="8"/>
        <v>0</v>
      </c>
      <c r="O74" s="16"/>
      <c r="P74" s="16">
        <f t="shared" si="9"/>
        <v>0</v>
      </c>
      <c r="Q74" s="16"/>
      <c r="R74" s="16">
        <f t="shared" si="10"/>
        <v>0</v>
      </c>
      <c r="S74" s="16"/>
      <c r="T74" s="16">
        <f t="shared" si="11"/>
        <v>0</v>
      </c>
      <c r="U74" s="16"/>
      <c r="V74" s="16">
        <f t="shared" si="12"/>
        <v>0</v>
      </c>
      <c r="W74" s="16"/>
      <c r="X74" s="16"/>
      <c r="Y74" s="16"/>
      <c r="Z74" s="16">
        <f t="shared" si="13"/>
        <v>0</v>
      </c>
      <c r="AA74" s="16"/>
      <c r="AB74" s="16">
        <f t="shared" si="14"/>
        <v>0</v>
      </c>
      <c r="AC74" s="16"/>
      <c r="AD74" s="16">
        <f t="shared" si="15"/>
        <v>0</v>
      </c>
      <c r="AE74" s="16"/>
      <c r="AF74" s="16">
        <f t="shared" si="16"/>
        <v>0</v>
      </c>
      <c r="AG74" s="16"/>
      <c r="AH74" s="16">
        <f t="shared" si="17"/>
        <v>0</v>
      </c>
      <c r="AI74" s="16"/>
      <c r="AJ74" s="16">
        <f t="shared" si="18"/>
        <v>0</v>
      </c>
      <c r="AK74" s="16"/>
      <c r="AL74" s="16">
        <f t="shared" si="19"/>
        <v>0</v>
      </c>
      <c r="AM74" s="16"/>
      <c r="AN74" s="16">
        <f t="shared" si="2"/>
        <v>0</v>
      </c>
      <c r="AO74" s="16"/>
      <c r="AP74" s="16">
        <f t="shared" si="20"/>
        <v>0</v>
      </c>
      <c r="AQ74" s="16"/>
      <c r="AR74" s="16">
        <f t="shared" si="21"/>
        <v>0</v>
      </c>
      <c r="AS74" s="16"/>
      <c r="AT74" s="16">
        <f t="shared" si="22"/>
        <v>0</v>
      </c>
      <c r="AU74" s="16"/>
      <c r="AV74" s="16">
        <f t="shared" si="23"/>
        <v>0</v>
      </c>
      <c r="AW74" s="16"/>
      <c r="AX74" s="16">
        <f t="shared" si="3"/>
        <v>0</v>
      </c>
      <c r="AY74" s="16"/>
      <c r="AZ74" s="16">
        <f t="shared" si="24"/>
        <v>0</v>
      </c>
      <c r="BA74" s="16"/>
      <c r="BB74" s="16">
        <f t="shared" si="25"/>
        <v>0</v>
      </c>
      <c r="BC74" s="11">
        <f t="shared" si="26"/>
        <v>0</v>
      </c>
      <c r="BD74" s="17"/>
      <c r="BE74" s="17"/>
      <c r="BF74" s="17">
        <v>400</v>
      </c>
      <c r="BG74" s="16">
        <f t="shared" si="5"/>
        <v>9200000</v>
      </c>
      <c r="BH74" s="17"/>
      <c r="BI74" s="17"/>
    </row>
    <row r="75" spans="1:61" ht="12.75">
      <c r="A75" s="38">
        <v>35952</v>
      </c>
      <c r="B75" s="39" t="s">
        <v>432</v>
      </c>
      <c r="C75" s="40" t="s">
        <v>432</v>
      </c>
      <c r="D75" s="40" t="s">
        <v>821</v>
      </c>
      <c r="E75" s="17">
        <v>324</v>
      </c>
      <c r="F75" s="16">
        <f t="shared" si="0"/>
        <v>112752</v>
      </c>
      <c r="G75" s="17">
        <v>324</v>
      </c>
      <c r="H75" s="16">
        <f t="shared" si="1"/>
        <v>95839.2</v>
      </c>
      <c r="I75" s="16">
        <v>324</v>
      </c>
      <c r="J75" s="16">
        <f t="shared" si="6"/>
        <v>1353024</v>
      </c>
      <c r="K75" s="16"/>
      <c r="L75" s="16">
        <f t="shared" si="7"/>
        <v>0</v>
      </c>
      <c r="M75" s="16"/>
      <c r="N75" s="16">
        <f t="shared" si="8"/>
        <v>0</v>
      </c>
      <c r="O75" s="16"/>
      <c r="P75" s="16">
        <f t="shared" si="9"/>
        <v>0</v>
      </c>
      <c r="Q75" s="16">
        <v>650</v>
      </c>
      <c r="R75" s="16">
        <f t="shared" si="10"/>
        <v>17719000</v>
      </c>
      <c r="S75" s="16">
        <v>324</v>
      </c>
      <c r="T75" s="16">
        <f t="shared" si="11"/>
        <v>610740</v>
      </c>
      <c r="U75" s="16">
        <v>324</v>
      </c>
      <c r="V75" s="16">
        <f t="shared" si="12"/>
        <v>188127.36</v>
      </c>
      <c r="W75" s="16"/>
      <c r="X75" s="16"/>
      <c r="Y75" s="16"/>
      <c r="Z75" s="16">
        <f t="shared" si="13"/>
        <v>0</v>
      </c>
      <c r="AA75" s="16"/>
      <c r="AB75" s="16">
        <f t="shared" si="14"/>
        <v>0</v>
      </c>
      <c r="AC75" s="16">
        <v>324</v>
      </c>
      <c r="AD75" s="16">
        <f t="shared" si="15"/>
        <v>202953.6</v>
      </c>
      <c r="AE75" s="16">
        <v>650</v>
      </c>
      <c r="AF75" s="16">
        <f t="shared" si="16"/>
        <v>1326286</v>
      </c>
      <c r="AG75" s="16">
        <v>324</v>
      </c>
      <c r="AH75" s="16">
        <f t="shared" si="17"/>
        <v>2148677.2800000003</v>
      </c>
      <c r="AI75" s="16"/>
      <c r="AJ75" s="16">
        <f t="shared" si="18"/>
        <v>0</v>
      </c>
      <c r="AK75" s="16">
        <v>324</v>
      </c>
      <c r="AL75" s="16">
        <f t="shared" si="19"/>
        <v>20671.2</v>
      </c>
      <c r="AM75" s="16">
        <v>3</v>
      </c>
      <c r="AN75" s="16">
        <f t="shared" si="2"/>
        <v>765051.9299999999</v>
      </c>
      <c r="AO75" s="16">
        <v>650</v>
      </c>
      <c r="AP75" s="16">
        <f t="shared" si="20"/>
        <v>177190.00000000003</v>
      </c>
      <c r="AQ75" s="16">
        <v>650</v>
      </c>
      <c r="AR75" s="16">
        <f t="shared" si="21"/>
        <v>211120</v>
      </c>
      <c r="AS75" s="16">
        <v>650</v>
      </c>
      <c r="AT75" s="16">
        <f t="shared" si="22"/>
        <v>210470</v>
      </c>
      <c r="AU75" s="16">
        <v>650</v>
      </c>
      <c r="AV75" s="16">
        <f t="shared" si="23"/>
        <v>4202744</v>
      </c>
      <c r="AW75" s="16">
        <v>650</v>
      </c>
      <c r="AX75" s="16">
        <f t="shared" si="3"/>
        <v>4122384.5</v>
      </c>
      <c r="AY75" s="16"/>
      <c r="AZ75" s="16">
        <f t="shared" si="24"/>
        <v>0</v>
      </c>
      <c r="BA75" s="16">
        <v>650</v>
      </c>
      <c r="BB75" s="16">
        <f t="shared" si="25"/>
        <v>4641955.5</v>
      </c>
      <c r="BC75" s="11">
        <f t="shared" si="26"/>
        <v>38108986.57</v>
      </c>
      <c r="BD75" s="17"/>
      <c r="BE75" s="17"/>
      <c r="BF75" s="17">
        <v>324</v>
      </c>
      <c r="BG75" s="16">
        <f t="shared" si="5"/>
        <v>7452000</v>
      </c>
      <c r="BH75" s="17"/>
      <c r="BI75" s="17"/>
    </row>
    <row r="76" spans="1:61" ht="12.75">
      <c r="A76" s="38">
        <v>35949</v>
      </c>
      <c r="B76" s="39" t="s">
        <v>432</v>
      </c>
      <c r="C76" s="40" t="s">
        <v>436</v>
      </c>
      <c r="D76" s="40" t="s">
        <v>821</v>
      </c>
      <c r="E76" s="17">
        <v>526</v>
      </c>
      <c r="F76" s="16">
        <f t="shared" si="0"/>
        <v>183048</v>
      </c>
      <c r="G76" s="17">
        <v>526</v>
      </c>
      <c r="H76" s="16">
        <f t="shared" si="1"/>
        <v>155590.80000000002</v>
      </c>
      <c r="I76" s="16">
        <v>526</v>
      </c>
      <c r="J76" s="16">
        <f t="shared" si="6"/>
        <v>2196576</v>
      </c>
      <c r="K76" s="16"/>
      <c r="L76" s="16">
        <f t="shared" si="7"/>
        <v>0</v>
      </c>
      <c r="M76" s="16"/>
      <c r="N76" s="16">
        <f t="shared" si="8"/>
        <v>0</v>
      </c>
      <c r="O76" s="16"/>
      <c r="P76" s="16">
        <f t="shared" si="9"/>
        <v>0</v>
      </c>
      <c r="Q76" s="16">
        <v>1070</v>
      </c>
      <c r="R76" s="16">
        <f t="shared" si="10"/>
        <v>29168200</v>
      </c>
      <c r="S76" s="16">
        <v>526</v>
      </c>
      <c r="T76" s="16">
        <f t="shared" si="11"/>
        <v>991510</v>
      </c>
      <c r="U76" s="16">
        <v>526</v>
      </c>
      <c r="V76" s="16">
        <f t="shared" si="12"/>
        <v>305416.64</v>
      </c>
      <c r="W76" s="16"/>
      <c r="X76" s="16"/>
      <c r="Y76" s="16"/>
      <c r="Z76" s="16">
        <f t="shared" si="13"/>
        <v>0</v>
      </c>
      <c r="AA76" s="16"/>
      <c r="AB76" s="16">
        <f t="shared" si="14"/>
        <v>0</v>
      </c>
      <c r="AC76" s="16">
        <v>526</v>
      </c>
      <c r="AD76" s="16">
        <f t="shared" si="15"/>
        <v>329486.39999999997</v>
      </c>
      <c r="AE76" s="16">
        <v>1070</v>
      </c>
      <c r="AF76" s="16">
        <f t="shared" si="16"/>
        <v>2183270.8000000003</v>
      </c>
      <c r="AG76" s="16">
        <v>526</v>
      </c>
      <c r="AH76" s="16">
        <f t="shared" si="17"/>
        <v>3488284.72</v>
      </c>
      <c r="AI76" s="16"/>
      <c r="AJ76" s="16">
        <f t="shared" si="18"/>
        <v>0</v>
      </c>
      <c r="AK76" s="16">
        <v>526</v>
      </c>
      <c r="AL76" s="16">
        <f t="shared" si="19"/>
        <v>33558.799999999996</v>
      </c>
      <c r="AM76" s="16">
        <v>5</v>
      </c>
      <c r="AN76" s="16">
        <f t="shared" si="2"/>
        <v>1275086.55</v>
      </c>
      <c r="AO76" s="16">
        <v>1070</v>
      </c>
      <c r="AP76" s="16">
        <f t="shared" si="20"/>
        <v>291682</v>
      </c>
      <c r="AQ76" s="16">
        <v>1070</v>
      </c>
      <c r="AR76" s="16">
        <f t="shared" si="21"/>
        <v>347536</v>
      </c>
      <c r="AS76" s="16">
        <v>1070</v>
      </c>
      <c r="AT76" s="16">
        <f t="shared" si="22"/>
        <v>346466</v>
      </c>
      <c r="AU76" s="16">
        <v>1070</v>
      </c>
      <c r="AV76" s="16">
        <f t="shared" si="23"/>
        <v>6918363.2</v>
      </c>
      <c r="AW76" s="16">
        <v>1070</v>
      </c>
      <c r="AX76" s="16">
        <f t="shared" si="3"/>
        <v>6786079.100000001</v>
      </c>
      <c r="AY76" s="16"/>
      <c r="AZ76" s="16">
        <f t="shared" si="24"/>
        <v>0</v>
      </c>
      <c r="BA76" s="16">
        <v>1070</v>
      </c>
      <c r="BB76" s="16">
        <f t="shared" si="25"/>
        <v>7641372.9</v>
      </c>
      <c r="BC76" s="11">
        <f t="shared" si="26"/>
        <v>62641527.91</v>
      </c>
      <c r="BD76" s="17"/>
      <c r="BE76" s="17"/>
      <c r="BF76" s="17">
        <v>526</v>
      </c>
      <c r="BG76" s="16">
        <f t="shared" si="5"/>
        <v>12098000</v>
      </c>
      <c r="BH76" s="17"/>
      <c r="BI76" s="17"/>
    </row>
    <row r="77" spans="1:61" ht="12.75">
      <c r="A77" s="38">
        <v>35957</v>
      </c>
      <c r="B77" s="39" t="s">
        <v>432</v>
      </c>
      <c r="C77" s="40" t="s">
        <v>447</v>
      </c>
      <c r="D77" s="40" t="s">
        <v>821</v>
      </c>
      <c r="E77" s="17">
        <v>250</v>
      </c>
      <c r="F77" s="16">
        <f t="shared" si="0"/>
        <v>87000</v>
      </c>
      <c r="G77" s="17">
        <v>250</v>
      </c>
      <c r="H77" s="16">
        <f t="shared" si="1"/>
        <v>73950</v>
      </c>
      <c r="I77" s="16">
        <v>250</v>
      </c>
      <c r="J77" s="16">
        <f t="shared" si="6"/>
        <v>1044000</v>
      </c>
      <c r="K77" s="16"/>
      <c r="L77" s="16">
        <f t="shared" si="7"/>
        <v>0</v>
      </c>
      <c r="M77" s="16"/>
      <c r="N77" s="16">
        <f t="shared" si="8"/>
        <v>0</v>
      </c>
      <c r="O77" s="16"/>
      <c r="P77" s="16">
        <f t="shared" si="9"/>
        <v>0</v>
      </c>
      <c r="Q77" s="16">
        <v>500</v>
      </c>
      <c r="R77" s="16">
        <f t="shared" si="10"/>
        <v>13630000</v>
      </c>
      <c r="S77" s="16">
        <v>250</v>
      </c>
      <c r="T77" s="16">
        <f t="shared" si="11"/>
        <v>471250</v>
      </c>
      <c r="U77" s="16">
        <v>250</v>
      </c>
      <c r="V77" s="16">
        <f t="shared" si="12"/>
        <v>145160</v>
      </c>
      <c r="W77" s="16"/>
      <c r="X77" s="16"/>
      <c r="Y77" s="16"/>
      <c r="Z77" s="16">
        <f t="shared" si="13"/>
        <v>0</v>
      </c>
      <c r="AA77" s="16"/>
      <c r="AB77" s="16">
        <f t="shared" si="14"/>
        <v>0</v>
      </c>
      <c r="AC77" s="16">
        <v>250</v>
      </c>
      <c r="AD77" s="16">
        <f t="shared" si="15"/>
        <v>156600</v>
      </c>
      <c r="AE77" s="16">
        <v>500</v>
      </c>
      <c r="AF77" s="16">
        <f t="shared" si="16"/>
        <v>1020220</v>
      </c>
      <c r="AG77" s="16">
        <v>250</v>
      </c>
      <c r="AH77" s="16">
        <f t="shared" si="17"/>
        <v>1657930</v>
      </c>
      <c r="AI77" s="16"/>
      <c r="AJ77" s="16">
        <f t="shared" si="18"/>
        <v>0</v>
      </c>
      <c r="AK77" s="16">
        <v>250</v>
      </c>
      <c r="AL77" s="16">
        <f t="shared" si="19"/>
        <v>15950</v>
      </c>
      <c r="AM77" s="16">
        <v>2</v>
      </c>
      <c r="AN77" s="16">
        <f t="shared" si="2"/>
        <v>510034.62</v>
      </c>
      <c r="AO77" s="16">
        <v>500</v>
      </c>
      <c r="AP77" s="16">
        <f t="shared" si="20"/>
        <v>136300</v>
      </c>
      <c r="AQ77" s="16">
        <v>500</v>
      </c>
      <c r="AR77" s="16">
        <f t="shared" si="21"/>
        <v>162400</v>
      </c>
      <c r="AS77" s="16">
        <v>500</v>
      </c>
      <c r="AT77" s="16">
        <f t="shared" si="22"/>
        <v>161900</v>
      </c>
      <c r="AU77" s="16">
        <v>500</v>
      </c>
      <c r="AV77" s="16">
        <f t="shared" si="23"/>
        <v>3232880</v>
      </c>
      <c r="AW77" s="16">
        <v>500</v>
      </c>
      <c r="AX77" s="16">
        <f t="shared" si="3"/>
        <v>3171065</v>
      </c>
      <c r="AY77" s="16"/>
      <c r="AZ77" s="16">
        <f t="shared" si="24"/>
        <v>0</v>
      </c>
      <c r="BA77" s="16">
        <v>500</v>
      </c>
      <c r="BB77" s="16">
        <f t="shared" si="25"/>
        <v>3570735</v>
      </c>
      <c r="BC77" s="11">
        <f t="shared" si="26"/>
        <v>29247374.62</v>
      </c>
      <c r="BD77" s="17"/>
      <c r="BE77" s="17"/>
      <c r="BF77" s="17">
        <v>250</v>
      </c>
      <c r="BG77" s="16">
        <f t="shared" si="5"/>
        <v>5750000</v>
      </c>
      <c r="BH77" s="17"/>
      <c r="BI77" s="17"/>
    </row>
    <row r="78" spans="1:61" ht="22.5">
      <c r="A78" s="38">
        <v>35957</v>
      </c>
      <c r="B78" s="39" t="s">
        <v>432</v>
      </c>
      <c r="C78" s="40" t="s">
        <v>450</v>
      </c>
      <c r="D78" s="40" t="s">
        <v>821</v>
      </c>
      <c r="E78" s="17">
        <v>140</v>
      </c>
      <c r="F78" s="16">
        <f t="shared" si="0"/>
        <v>48720</v>
      </c>
      <c r="G78" s="17">
        <v>140</v>
      </c>
      <c r="H78" s="16">
        <f t="shared" si="1"/>
        <v>41412</v>
      </c>
      <c r="I78" s="16">
        <v>140</v>
      </c>
      <c r="J78" s="16">
        <f t="shared" si="6"/>
        <v>584640</v>
      </c>
      <c r="K78" s="16"/>
      <c r="L78" s="16">
        <f t="shared" si="7"/>
        <v>0</v>
      </c>
      <c r="M78" s="16"/>
      <c r="N78" s="16">
        <f t="shared" si="8"/>
        <v>0</v>
      </c>
      <c r="O78" s="16"/>
      <c r="P78" s="16">
        <f t="shared" si="9"/>
        <v>0</v>
      </c>
      <c r="Q78" s="16">
        <v>280</v>
      </c>
      <c r="R78" s="16">
        <f t="shared" si="10"/>
        <v>7632800</v>
      </c>
      <c r="S78" s="16">
        <v>140</v>
      </c>
      <c r="T78" s="16">
        <f t="shared" si="11"/>
        <v>263900</v>
      </c>
      <c r="U78" s="16">
        <v>140</v>
      </c>
      <c r="V78" s="16">
        <f t="shared" si="12"/>
        <v>81289.59999999999</v>
      </c>
      <c r="W78" s="16"/>
      <c r="X78" s="16"/>
      <c r="Y78" s="16"/>
      <c r="Z78" s="16">
        <f t="shared" si="13"/>
        <v>0</v>
      </c>
      <c r="AA78" s="16"/>
      <c r="AB78" s="16">
        <f t="shared" si="14"/>
        <v>0</v>
      </c>
      <c r="AC78" s="16">
        <v>140</v>
      </c>
      <c r="AD78" s="16">
        <f t="shared" si="15"/>
        <v>87696</v>
      </c>
      <c r="AE78" s="16">
        <v>280</v>
      </c>
      <c r="AF78" s="16">
        <f t="shared" si="16"/>
        <v>571323.2000000001</v>
      </c>
      <c r="AG78" s="16">
        <v>140</v>
      </c>
      <c r="AH78" s="16">
        <f t="shared" si="17"/>
        <v>928440.8</v>
      </c>
      <c r="AI78" s="16"/>
      <c r="AJ78" s="16">
        <f t="shared" si="18"/>
        <v>0</v>
      </c>
      <c r="AK78" s="16">
        <v>140</v>
      </c>
      <c r="AL78" s="16">
        <f t="shared" si="19"/>
        <v>8932</v>
      </c>
      <c r="AM78" s="16">
        <v>1</v>
      </c>
      <c r="AN78" s="16">
        <f t="shared" si="2"/>
        <v>255017.31</v>
      </c>
      <c r="AO78" s="16">
        <v>280</v>
      </c>
      <c r="AP78" s="16">
        <f t="shared" si="20"/>
        <v>76328</v>
      </c>
      <c r="AQ78" s="16">
        <v>280</v>
      </c>
      <c r="AR78" s="16">
        <f t="shared" si="21"/>
        <v>90944</v>
      </c>
      <c r="AS78" s="16">
        <v>280</v>
      </c>
      <c r="AT78" s="16">
        <f t="shared" si="22"/>
        <v>90664</v>
      </c>
      <c r="AU78" s="16">
        <v>280</v>
      </c>
      <c r="AV78" s="16">
        <f t="shared" si="23"/>
        <v>1810412.8</v>
      </c>
      <c r="AW78" s="16">
        <v>280</v>
      </c>
      <c r="AX78" s="16">
        <f t="shared" si="3"/>
        <v>1775796.4000000001</v>
      </c>
      <c r="AY78" s="16"/>
      <c r="AZ78" s="16">
        <f t="shared" si="24"/>
        <v>0</v>
      </c>
      <c r="BA78" s="16">
        <v>280</v>
      </c>
      <c r="BB78" s="16">
        <f t="shared" si="25"/>
        <v>1999611.6</v>
      </c>
      <c r="BC78" s="11">
        <f t="shared" si="26"/>
        <v>16347927.71</v>
      </c>
      <c r="BD78" s="17"/>
      <c r="BE78" s="17"/>
      <c r="BF78" s="17">
        <v>140</v>
      </c>
      <c r="BG78" s="16">
        <f t="shared" si="5"/>
        <v>3220000</v>
      </c>
      <c r="BH78" s="17"/>
      <c r="BI78" s="17"/>
    </row>
    <row r="79" spans="1:61" ht="22.5">
      <c r="A79" s="38">
        <v>35968</v>
      </c>
      <c r="B79" s="39" t="s">
        <v>432</v>
      </c>
      <c r="C79" s="40" t="s">
        <v>450</v>
      </c>
      <c r="D79" s="40" t="s">
        <v>911</v>
      </c>
      <c r="E79" s="17"/>
      <c r="F79" s="16">
        <f t="shared" si="0"/>
        <v>0</v>
      </c>
      <c r="G79" s="17"/>
      <c r="H79" s="16">
        <f t="shared" si="1"/>
        <v>0</v>
      </c>
      <c r="I79" s="16"/>
      <c r="J79" s="16">
        <f t="shared" si="6"/>
        <v>0</v>
      </c>
      <c r="K79" s="16"/>
      <c r="L79" s="16">
        <f t="shared" si="7"/>
        <v>0</v>
      </c>
      <c r="M79" s="16"/>
      <c r="N79" s="16">
        <f t="shared" si="8"/>
        <v>0</v>
      </c>
      <c r="O79" s="16"/>
      <c r="P79" s="16">
        <f t="shared" si="9"/>
        <v>0</v>
      </c>
      <c r="Q79" s="16"/>
      <c r="R79" s="16">
        <f t="shared" si="10"/>
        <v>0</v>
      </c>
      <c r="S79" s="16"/>
      <c r="T79" s="16">
        <f t="shared" si="11"/>
        <v>0</v>
      </c>
      <c r="U79" s="16"/>
      <c r="V79" s="16">
        <f t="shared" si="12"/>
        <v>0</v>
      </c>
      <c r="W79" s="16"/>
      <c r="X79" s="16"/>
      <c r="Y79" s="16"/>
      <c r="Z79" s="16">
        <f t="shared" si="13"/>
        <v>0</v>
      </c>
      <c r="AA79" s="16"/>
      <c r="AB79" s="16">
        <f t="shared" si="14"/>
        <v>0</v>
      </c>
      <c r="AC79" s="16"/>
      <c r="AD79" s="16">
        <f t="shared" si="15"/>
        <v>0</v>
      </c>
      <c r="AE79" s="16"/>
      <c r="AF79" s="16">
        <f t="shared" si="16"/>
        <v>0</v>
      </c>
      <c r="AG79" s="16"/>
      <c r="AH79" s="16">
        <f t="shared" si="17"/>
        <v>0</v>
      </c>
      <c r="AI79" s="16"/>
      <c r="AJ79" s="16">
        <f t="shared" si="18"/>
        <v>0</v>
      </c>
      <c r="AK79" s="16"/>
      <c r="AL79" s="16">
        <f t="shared" si="19"/>
        <v>0</v>
      </c>
      <c r="AM79" s="16"/>
      <c r="AN79" s="16">
        <f t="shared" si="2"/>
        <v>0</v>
      </c>
      <c r="AO79" s="16"/>
      <c r="AP79" s="16">
        <f t="shared" si="20"/>
        <v>0</v>
      </c>
      <c r="AQ79" s="16"/>
      <c r="AR79" s="16">
        <f t="shared" si="21"/>
        <v>0</v>
      </c>
      <c r="AS79" s="16"/>
      <c r="AT79" s="16">
        <f t="shared" si="22"/>
        <v>0</v>
      </c>
      <c r="AU79" s="16"/>
      <c r="AV79" s="16">
        <f t="shared" si="23"/>
        <v>0</v>
      </c>
      <c r="AW79" s="16"/>
      <c r="AX79" s="16">
        <f t="shared" si="3"/>
        <v>0</v>
      </c>
      <c r="AY79" s="16"/>
      <c r="AZ79" s="16">
        <f t="shared" si="24"/>
        <v>0</v>
      </c>
      <c r="BA79" s="16"/>
      <c r="BB79" s="16">
        <f t="shared" si="25"/>
        <v>0</v>
      </c>
      <c r="BC79" s="11">
        <f t="shared" si="26"/>
        <v>0</v>
      </c>
      <c r="BD79" s="17"/>
      <c r="BE79" s="17"/>
      <c r="BF79" s="17"/>
      <c r="BG79" s="16">
        <f t="shared" si="5"/>
        <v>0</v>
      </c>
      <c r="BH79" s="17">
        <v>446</v>
      </c>
      <c r="BI79" s="16">
        <f>+BH79*6885.76</f>
        <v>3071048.96</v>
      </c>
    </row>
    <row r="80" spans="1:61" ht="12.75">
      <c r="A80" s="38">
        <v>35958</v>
      </c>
      <c r="B80" s="39" t="s">
        <v>59</v>
      </c>
      <c r="C80" s="40" t="s">
        <v>207</v>
      </c>
      <c r="D80" s="40" t="s">
        <v>821</v>
      </c>
      <c r="E80" s="17">
        <v>1400</v>
      </c>
      <c r="F80" s="16">
        <f t="shared" si="0"/>
        <v>487200</v>
      </c>
      <c r="G80" s="17">
        <v>1400</v>
      </c>
      <c r="H80" s="16">
        <f t="shared" si="1"/>
        <v>414120</v>
      </c>
      <c r="I80" s="16">
        <v>350</v>
      </c>
      <c r="J80" s="16">
        <f t="shared" si="6"/>
        <v>1461600</v>
      </c>
      <c r="K80" s="16"/>
      <c r="L80" s="16">
        <f t="shared" si="7"/>
        <v>0</v>
      </c>
      <c r="M80" s="16"/>
      <c r="N80" s="16">
        <f t="shared" si="8"/>
        <v>0</v>
      </c>
      <c r="O80" s="16"/>
      <c r="P80" s="16">
        <f t="shared" si="9"/>
        <v>0</v>
      </c>
      <c r="Q80" s="16">
        <v>1400</v>
      </c>
      <c r="R80" s="16">
        <f t="shared" si="10"/>
        <v>38164000</v>
      </c>
      <c r="S80" s="16">
        <v>1400</v>
      </c>
      <c r="T80" s="16">
        <f t="shared" si="11"/>
        <v>2639000</v>
      </c>
      <c r="U80" s="16">
        <v>1400</v>
      </c>
      <c r="V80" s="16">
        <f t="shared" si="12"/>
        <v>812896</v>
      </c>
      <c r="W80" s="16"/>
      <c r="X80" s="16"/>
      <c r="Y80" s="16"/>
      <c r="Z80" s="16">
        <f t="shared" si="13"/>
        <v>0</v>
      </c>
      <c r="AA80" s="16">
        <v>700</v>
      </c>
      <c r="AB80" s="16">
        <f t="shared" si="14"/>
        <v>10150000</v>
      </c>
      <c r="AC80" s="16">
        <v>1400</v>
      </c>
      <c r="AD80" s="16">
        <f t="shared" si="15"/>
        <v>876960</v>
      </c>
      <c r="AE80" s="16">
        <v>350</v>
      </c>
      <c r="AF80" s="16">
        <f t="shared" si="16"/>
        <v>714154</v>
      </c>
      <c r="AG80" s="16">
        <v>350</v>
      </c>
      <c r="AH80" s="16">
        <f t="shared" si="17"/>
        <v>2321102</v>
      </c>
      <c r="AI80" s="16"/>
      <c r="AJ80" s="16">
        <f t="shared" si="18"/>
        <v>0</v>
      </c>
      <c r="AK80" s="16">
        <v>1400</v>
      </c>
      <c r="AL80" s="16">
        <f t="shared" si="19"/>
        <v>89320</v>
      </c>
      <c r="AM80" s="16"/>
      <c r="AN80" s="16">
        <f t="shared" si="2"/>
        <v>0</v>
      </c>
      <c r="AO80" s="16">
        <v>350</v>
      </c>
      <c r="AP80" s="16">
        <f t="shared" si="20"/>
        <v>95410.00000000001</v>
      </c>
      <c r="AQ80" s="16">
        <v>350</v>
      </c>
      <c r="AR80" s="16">
        <f t="shared" si="21"/>
        <v>113680</v>
      </c>
      <c r="AS80" s="16">
        <v>350</v>
      </c>
      <c r="AT80" s="16">
        <f t="shared" si="22"/>
        <v>113330</v>
      </c>
      <c r="AU80" s="16">
        <v>350</v>
      </c>
      <c r="AV80" s="16">
        <f t="shared" si="23"/>
        <v>2263016</v>
      </c>
      <c r="AW80" s="16"/>
      <c r="AX80" s="16">
        <f t="shared" si="3"/>
        <v>0</v>
      </c>
      <c r="AY80" s="16"/>
      <c r="AZ80" s="16">
        <f t="shared" si="24"/>
        <v>0</v>
      </c>
      <c r="BA80" s="16">
        <v>1400</v>
      </c>
      <c r="BB80" s="16">
        <f t="shared" si="25"/>
        <v>9998058</v>
      </c>
      <c r="BC80" s="11">
        <f t="shared" si="26"/>
        <v>70713846</v>
      </c>
      <c r="BD80" s="17"/>
      <c r="BE80" s="17"/>
      <c r="BF80" s="17">
        <v>350</v>
      </c>
      <c r="BG80" s="16">
        <f t="shared" si="5"/>
        <v>8050000</v>
      </c>
      <c r="BH80" s="17"/>
      <c r="BI80" s="17"/>
    </row>
    <row r="81" spans="1:61" ht="12.75">
      <c r="A81" s="38">
        <v>35949</v>
      </c>
      <c r="B81" s="39" t="s">
        <v>829</v>
      </c>
      <c r="C81" s="40" t="s">
        <v>113</v>
      </c>
      <c r="D81" s="40" t="s">
        <v>821</v>
      </c>
      <c r="E81" s="17">
        <v>92</v>
      </c>
      <c r="F81" s="16">
        <f t="shared" si="0"/>
        <v>32016</v>
      </c>
      <c r="G81" s="17">
        <v>92</v>
      </c>
      <c r="H81" s="16">
        <f t="shared" si="1"/>
        <v>27213.600000000002</v>
      </c>
      <c r="I81" s="16"/>
      <c r="J81" s="16">
        <f t="shared" si="6"/>
        <v>0</v>
      </c>
      <c r="K81" s="16"/>
      <c r="L81" s="16">
        <f t="shared" si="7"/>
        <v>0</v>
      </c>
      <c r="M81" s="16"/>
      <c r="N81" s="16">
        <f t="shared" si="8"/>
        <v>0</v>
      </c>
      <c r="O81" s="16"/>
      <c r="P81" s="16">
        <f t="shared" si="9"/>
        <v>0</v>
      </c>
      <c r="Q81" s="16">
        <v>92</v>
      </c>
      <c r="R81" s="16">
        <f t="shared" si="10"/>
        <v>2507920</v>
      </c>
      <c r="S81" s="16">
        <v>92</v>
      </c>
      <c r="T81" s="16">
        <f t="shared" si="11"/>
        <v>173420</v>
      </c>
      <c r="U81" s="16">
        <v>92</v>
      </c>
      <c r="V81" s="16">
        <f t="shared" si="12"/>
        <v>53418.88</v>
      </c>
      <c r="W81" s="16"/>
      <c r="X81" s="16"/>
      <c r="Y81" s="16"/>
      <c r="Z81" s="16">
        <f t="shared" si="13"/>
        <v>0</v>
      </c>
      <c r="AA81" s="16"/>
      <c r="AB81" s="16">
        <f t="shared" si="14"/>
        <v>0</v>
      </c>
      <c r="AC81" s="16">
        <v>92</v>
      </c>
      <c r="AD81" s="16">
        <f t="shared" si="15"/>
        <v>57628.799999999996</v>
      </c>
      <c r="AE81" s="16">
        <v>92</v>
      </c>
      <c r="AF81" s="16">
        <f t="shared" si="16"/>
        <v>187720.48</v>
      </c>
      <c r="AG81" s="16">
        <v>18</v>
      </c>
      <c r="AH81" s="16">
        <f t="shared" si="17"/>
        <v>119370.96</v>
      </c>
      <c r="AI81" s="16"/>
      <c r="AJ81" s="16">
        <f t="shared" si="18"/>
        <v>0</v>
      </c>
      <c r="AK81" s="16">
        <v>92</v>
      </c>
      <c r="AL81" s="16">
        <f t="shared" si="19"/>
        <v>5869.599999999999</v>
      </c>
      <c r="AM81" s="16"/>
      <c r="AN81" s="16">
        <f t="shared" si="2"/>
        <v>0</v>
      </c>
      <c r="AO81" s="16">
        <v>92</v>
      </c>
      <c r="AP81" s="16">
        <f t="shared" si="20"/>
        <v>25079.2</v>
      </c>
      <c r="AQ81" s="16">
        <v>92</v>
      </c>
      <c r="AR81" s="16">
        <f t="shared" si="21"/>
        <v>29881.600000000002</v>
      </c>
      <c r="AS81" s="16">
        <v>92</v>
      </c>
      <c r="AT81" s="16">
        <f t="shared" si="22"/>
        <v>29789.600000000002</v>
      </c>
      <c r="AU81" s="16">
        <v>92</v>
      </c>
      <c r="AV81" s="16">
        <f t="shared" si="23"/>
        <v>594849.92</v>
      </c>
      <c r="AW81" s="16">
        <v>92</v>
      </c>
      <c r="AX81" s="16">
        <f t="shared" si="3"/>
        <v>583475.96</v>
      </c>
      <c r="AY81" s="16"/>
      <c r="AZ81" s="16">
        <f t="shared" si="24"/>
        <v>0</v>
      </c>
      <c r="BA81" s="16">
        <v>92</v>
      </c>
      <c r="BB81" s="16">
        <f t="shared" si="25"/>
        <v>657015.24</v>
      </c>
      <c r="BC81" s="11">
        <f t="shared" si="26"/>
        <v>5084669.84</v>
      </c>
      <c r="BD81" s="17"/>
      <c r="BE81" s="17"/>
      <c r="BF81" s="17">
        <v>18</v>
      </c>
      <c r="BG81" s="16">
        <f t="shared" si="5"/>
        <v>414000</v>
      </c>
      <c r="BH81" s="17"/>
      <c r="BI81" s="17"/>
    </row>
    <row r="82" spans="1:61" ht="22.5">
      <c r="A82" s="38">
        <v>35969</v>
      </c>
      <c r="B82" s="39" t="s">
        <v>129</v>
      </c>
      <c r="C82" s="40" t="s">
        <v>456</v>
      </c>
      <c r="D82" s="40" t="s">
        <v>821</v>
      </c>
      <c r="E82" s="17"/>
      <c r="F82" s="16">
        <f t="shared" si="0"/>
        <v>0</v>
      </c>
      <c r="G82" s="17"/>
      <c r="H82" s="16">
        <f t="shared" si="1"/>
        <v>0</v>
      </c>
      <c r="I82" s="16"/>
      <c r="J82" s="16">
        <f t="shared" si="6"/>
        <v>0</v>
      </c>
      <c r="K82" s="16"/>
      <c r="L82" s="16">
        <f t="shared" si="7"/>
        <v>0</v>
      </c>
      <c r="M82" s="16">
        <v>140</v>
      </c>
      <c r="N82" s="16">
        <f t="shared" si="8"/>
        <v>347928</v>
      </c>
      <c r="O82" s="16"/>
      <c r="P82" s="16">
        <f t="shared" si="9"/>
        <v>0</v>
      </c>
      <c r="Q82" s="16">
        <v>140</v>
      </c>
      <c r="R82" s="16">
        <f t="shared" si="10"/>
        <v>3816400</v>
      </c>
      <c r="S82" s="16"/>
      <c r="T82" s="16">
        <f t="shared" si="11"/>
        <v>0</v>
      </c>
      <c r="U82" s="16"/>
      <c r="V82" s="16">
        <f t="shared" si="12"/>
        <v>0</v>
      </c>
      <c r="W82" s="16"/>
      <c r="X82" s="16"/>
      <c r="Y82" s="16"/>
      <c r="Z82" s="16">
        <f t="shared" si="13"/>
        <v>0</v>
      </c>
      <c r="AA82" s="16"/>
      <c r="AB82" s="16">
        <f t="shared" si="14"/>
        <v>0</v>
      </c>
      <c r="AC82" s="16"/>
      <c r="AD82" s="16">
        <f t="shared" si="15"/>
        <v>0</v>
      </c>
      <c r="AE82" s="16">
        <v>140</v>
      </c>
      <c r="AF82" s="16">
        <f t="shared" si="16"/>
        <v>285661.60000000003</v>
      </c>
      <c r="AG82" s="16"/>
      <c r="AH82" s="16">
        <f t="shared" si="17"/>
        <v>0</v>
      </c>
      <c r="AI82" s="16"/>
      <c r="AJ82" s="16">
        <f t="shared" si="18"/>
        <v>0</v>
      </c>
      <c r="AK82" s="16"/>
      <c r="AL82" s="16">
        <f t="shared" si="19"/>
        <v>0</v>
      </c>
      <c r="AM82" s="16"/>
      <c r="AN82" s="16">
        <f t="shared" si="2"/>
        <v>0</v>
      </c>
      <c r="AO82" s="16">
        <v>140</v>
      </c>
      <c r="AP82" s="16">
        <f t="shared" si="20"/>
        <v>38164</v>
      </c>
      <c r="AQ82" s="16">
        <v>140</v>
      </c>
      <c r="AR82" s="16">
        <f t="shared" si="21"/>
        <v>45472</v>
      </c>
      <c r="AS82" s="16"/>
      <c r="AT82" s="16">
        <f t="shared" si="22"/>
        <v>0</v>
      </c>
      <c r="AU82" s="16"/>
      <c r="AV82" s="16">
        <f t="shared" si="23"/>
        <v>0</v>
      </c>
      <c r="AW82" s="16"/>
      <c r="AX82" s="16">
        <f t="shared" si="3"/>
        <v>0</v>
      </c>
      <c r="AY82" s="16"/>
      <c r="AZ82" s="16">
        <f t="shared" si="24"/>
        <v>0</v>
      </c>
      <c r="BA82" s="16"/>
      <c r="BB82" s="16">
        <f t="shared" si="25"/>
        <v>0</v>
      </c>
      <c r="BC82" s="11">
        <f t="shared" si="26"/>
        <v>4533625.6</v>
      </c>
      <c r="BD82" s="17"/>
      <c r="BE82" s="17"/>
      <c r="BF82" s="17"/>
      <c r="BG82" s="16">
        <f t="shared" si="5"/>
        <v>0</v>
      </c>
      <c r="BH82" s="17"/>
      <c r="BI82" s="17"/>
    </row>
    <row r="83" spans="1:61" ht="12.75">
      <c r="A83" s="38">
        <v>35954</v>
      </c>
      <c r="B83" s="39" t="s">
        <v>13</v>
      </c>
      <c r="C83" s="40" t="s">
        <v>875</v>
      </c>
      <c r="D83" s="40" t="s">
        <v>884</v>
      </c>
      <c r="E83" s="17"/>
      <c r="F83" s="16">
        <f t="shared" si="0"/>
        <v>0</v>
      </c>
      <c r="G83" s="17"/>
      <c r="H83" s="16">
        <f t="shared" si="1"/>
        <v>0</v>
      </c>
      <c r="I83" s="16"/>
      <c r="J83" s="16">
        <f t="shared" si="6"/>
        <v>0</v>
      </c>
      <c r="K83" s="16"/>
      <c r="L83" s="16">
        <f t="shared" si="7"/>
        <v>0</v>
      </c>
      <c r="M83" s="16"/>
      <c r="N83" s="16">
        <f t="shared" si="8"/>
        <v>0</v>
      </c>
      <c r="O83" s="16"/>
      <c r="P83" s="16">
        <f t="shared" si="9"/>
        <v>0</v>
      </c>
      <c r="Q83" s="16"/>
      <c r="R83" s="16">
        <f t="shared" si="10"/>
        <v>0</v>
      </c>
      <c r="S83" s="16"/>
      <c r="T83" s="16">
        <f t="shared" si="11"/>
        <v>0</v>
      </c>
      <c r="U83" s="16"/>
      <c r="V83" s="16">
        <f t="shared" si="12"/>
        <v>0</v>
      </c>
      <c r="W83" s="16"/>
      <c r="X83" s="16"/>
      <c r="Y83" s="16"/>
      <c r="Z83" s="16">
        <f t="shared" si="13"/>
        <v>0</v>
      </c>
      <c r="AA83" s="16"/>
      <c r="AB83" s="16">
        <f t="shared" si="14"/>
        <v>0</v>
      </c>
      <c r="AC83" s="16"/>
      <c r="AD83" s="16">
        <f t="shared" si="15"/>
        <v>0</v>
      </c>
      <c r="AE83" s="16"/>
      <c r="AF83" s="16">
        <f t="shared" si="16"/>
        <v>0</v>
      </c>
      <c r="AG83" s="16"/>
      <c r="AH83" s="16">
        <f t="shared" si="17"/>
        <v>0</v>
      </c>
      <c r="AI83" s="16"/>
      <c r="AJ83" s="16">
        <f t="shared" si="18"/>
        <v>0</v>
      </c>
      <c r="AK83" s="16"/>
      <c r="AL83" s="16">
        <f t="shared" si="19"/>
        <v>0</v>
      </c>
      <c r="AM83" s="16"/>
      <c r="AN83" s="16">
        <f t="shared" si="2"/>
        <v>0</v>
      </c>
      <c r="AO83" s="16"/>
      <c r="AP83" s="16">
        <f t="shared" si="20"/>
        <v>0</v>
      </c>
      <c r="AQ83" s="16"/>
      <c r="AR83" s="16">
        <f t="shared" si="21"/>
        <v>0</v>
      </c>
      <c r="AS83" s="16"/>
      <c r="AT83" s="16">
        <f t="shared" si="22"/>
        <v>0</v>
      </c>
      <c r="AU83" s="16"/>
      <c r="AV83" s="16">
        <f t="shared" si="23"/>
        <v>0</v>
      </c>
      <c r="AW83" s="16"/>
      <c r="AX83" s="16">
        <f t="shared" si="3"/>
        <v>0</v>
      </c>
      <c r="AY83" s="16"/>
      <c r="AZ83" s="16">
        <f t="shared" si="24"/>
        <v>0</v>
      </c>
      <c r="BA83" s="16"/>
      <c r="BB83" s="16">
        <f t="shared" si="25"/>
        <v>0</v>
      </c>
      <c r="BC83" s="11">
        <f t="shared" si="26"/>
        <v>0</v>
      </c>
      <c r="BD83" s="17"/>
      <c r="BE83" s="17"/>
      <c r="BF83" s="17">
        <v>1000</v>
      </c>
      <c r="BG83" s="16">
        <f t="shared" si="5"/>
        <v>23000000</v>
      </c>
      <c r="BH83" s="17"/>
      <c r="BI83" s="17"/>
    </row>
    <row r="84" spans="1:61" ht="12.75">
      <c r="A84" s="38">
        <v>35954</v>
      </c>
      <c r="B84" s="39" t="s">
        <v>13</v>
      </c>
      <c r="C84" s="40" t="s">
        <v>458</v>
      </c>
      <c r="D84" s="40" t="s">
        <v>821</v>
      </c>
      <c r="E84" s="17">
        <v>450</v>
      </c>
      <c r="F84" s="16">
        <f t="shared" si="0"/>
        <v>156600</v>
      </c>
      <c r="G84" s="17">
        <v>450</v>
      </c>
      <c r="H84" s="16">
        <f t="shared" si="1"/>
        <v>133110</v>
      </c>
      <c r="I84" s="16"/>
      <c r="J84" s="16">
        <f t="shared" si="6"/>
        <v>0</v>
      </c>
      <c r="K84" s="16"/>
      <c r="L84" s="16">
        <f t="shared" si="7"/>
        <v>0</v>
      </c>
      <c r="M84" s="16"/>
      <c r="N84" s="16">
        <f t="shared" si="8"/>
        <v>0</v>
      </c>
      <c r="O84" s="16"/>
      <c r="P84" s="16">
        <f t="shared" si="9"/>
        <v>0</v>
      </c>
      <c r="Q84" s="16">
        <v>450</v>
      </c>
      <c r="R84" s="16">
        <f t="shared" si="10"/>
        <v>12267000</v>
      </c>
      <c r="S84" s="16">
        <v>450</v>
      </c>
      <c r="T84" s="16">
        <f t="shared" si="11"/>
        <v>848250</v>
      </c>
      <c r="U84" s="16">
        <v>450</v>
      </c>
      <c r="V84" s="16">
        <f t="shared" si="12"/>
        <v>261288</v>
      </c>
      <c r="W84" s="16"/>
      <c r="X84" s="16"/>
      <c r="Y84" s="16"/>
      <c r="Z84" s="16">
        <f t="shared" si="13"/>
        <v>0</v>
      </c>
      <c r="AA84" s="16"/>
      <c r="AB84" s="16">
        <f t="shared" si="14"/>
        <v>0</v>
      </c>
      <c r="AC84" s="16">
        <v>450</v>
      </c>
      <c r="AD84" s="16">
        <f t="shared" si="15"/>
        <v>281880</v>
      </c>
      <c r="AE84" s="16">
        <v>450</v>
      </c>
      <c r="AF84" s="16">
        <f t="shared" si="16"/>
        <v>918198</v>
      </c>
      <c r="AG84" s="16"/>
      <c r="AH84" s="16">
        <f t="shared" si="17"/>
        <v>0</v>
      </c>
      <c r="AI84" s="16"/>
      <c r="AJ84" s="16">
        <f t="shared" si="18"/>
        <v>0</v>
      </c>
      <c r="AK84" s="16">
        <v>450</v>
      </c>
      <c r="AL84" s="16">
        <f t="shared" si="19"/>
        <v>28710</v>
      </c>
      <c r="AM84" s="16"/>
      <c r="AN84" s="16">
        <f t="shared" si="2"/>
        <v>0</v>
      </c>
      <c r="AO84" s="16">
        <v>450</v>
      </c>
      <c r="AP84" s="16">
        <f t="shared" si="20"/>
        <v>122670.00000000001</v>
      </c>
      <c r="AQ84" s="16">
        <v>450</v>
      </c>
      <c r="AR84" s="16">
        <f t="shared" si="21"/>
        <v>146160</v>
      </c>
      <c r="AS84" s="16">
        <v>450</v>
      </c>
      <c r="AT84" s="16">
        <f t="shared" si="22"/>
        <v>145710</v>
      </c>
      <c r="AU84" s="16">
        <v>450</v>
      </c>
      <c r="AV84" s="16">
        <f t="shared" si="23"/>
        <v>2909592</v>
      </c>
      <c r="AW84" s="16">
        <v>450</v>
      </c>
      <c r="AX84" s="16">
        <f t="shared" si="3"/>
        <v>2853958.5</v>
      </c>
      <c r="AY84" s="16"/>
      <c r="AZ84" s="16">
        <f t="shared" si="24"/>
        <v>0</v>
      </c>
      <c r="BA84" s="16">
        <v>450</v>
      </c>
      <c r="BB84" s="16">
        <f t="shared" si="25"/>
        <v>3213661.5</v>
      </c>
      <c r="BC84" s="11">
        <f t="shared" si="26"/>
        <v>24286788</v>
      </c>
      <c r="BD84" s="17"/>
      <c r="BE84" s="17"/>
      <c r="BF84" s="17"/>
      <c r="BG84" s="16">
        <f t="shared" si="5"/>
        <v>0</v>
      </c>
      <c r="BH84" s="17"/>
      <c r="BI84" s="17"/>
    </row>
    <row r="85" spans="1:61" ht="12.75">
      <c r="A85" s="38">
        <v>35958</v>
      </c>
      <c r="B85" s="39" t="s">
        <v>877</v>
      </c>
      <c r="C85" s="40" t="s">
        <v>68</v>
      </c>
      <c r="D85" s="40" t="s">
        <v>884</v>
      </c>
      <c r="E85" s="17"/>
      <c r="F85" s="16">
        <f t="shared" si="0"/>
        <v>0</v>
      </c>
      <c r="G85" s="17"/>
      <c r="H85" s="16">
        <f t="shared" si="1"/>
        <v>0</v>
      </c>
      <c r="I85" s="16"/>
      <c r="J85" s="16">
        <f t="shared" si="6"/>
        <v>0</v>
      </c>
      <c r="K85" s="16"/>
      <c r="L85" s="16">
        <f t="shared" si="7"/>
        <v>0</v>
      </c>
      <c r="M85" s="16"/>
      <c r="N85" s="16">
        <f t="shared" si="8"/>
        <v>0</v>
      </c>
      <c r="O85" s="16"/>
      <c r="P85" s="16">
        <f t="shared" si="9"/>
        <v>0</v>
      </c>
      <c r="Q85" s="16"/>
      <c r="R85" s="16">
        <f t="shared" si="10"/>
        <v>0</v>
      </c>
      <c r="S85" s="16"/>
      <c r="T85" s="16">
        <f t="shared" si="11"/>
        <v>0</v>
      </c>
      <c r="U85" s="16"/>
      <c r="V85" s="16">
        <f t="shared" si="12"/>
        <v>0</v>
      </c>
      <c r="W85" s="16"/>
      <c r="X85" s="16"/>
      <c r="Y85" s="16"/>
      <c r="Z85" s="16">
        <f t="shared" si="13"/>
        <v>0</v>
      </c>
      <c r="AA85" s="16"/>
      <c r="AB85" s="16">
        <f t="shared" si="14"/>
        <v>0</v>
      </c>
      <c r="AC85" s="16"/>
      <c r="AD85" s="16">
        <f t="shared" si="15"/>
        <v>0</v>
      </c>
      <c r="AE85" s="16"/>
      <c r="AF85" s="16">
        <f t="shared" si="16"/>
        <v>0</v>
      </c>
      <c r="AG85" s="16"/>
      <c r="AH85" s="16">
        <f t="shared" si="17"/>
        <v>0</v>
      </c>
      <c r="AI85" s="16"/>
      <c r="AJ85" s="16">
        <f t="shared" si="18"/>
        <v>0</v>
      </c>
      <c r="AK85" s="16"/>
      <c r="AL85" s="16">
        <f t="shared" si="19"/>
        <v>0</v>
      </c>
      <c r="AM85" s="16"/>
      <c r="AN85" s="16">
        <f t="shared" si="2"/>
        <v>0</v>
      </c>
      <c r="AO85" s="16"/>
      <c r="AP85" s="16">
        <f t="shared" si="20"/>
        <v>0</v>
      </c>
      <c r="AQ85" s="16"/>
      <c r="AR85" s="16">
        <f t="shared" si="21"/>
        <v>0</v>
      </c>
      <c r="AS85" s="16"/>
      <c r="AT85" s="16">
        <f t="shared" si="22"/>
        <v>0</v>
      </c>
      <c r="AU85" s="16"/>
      <c r="AV85" s="16">
        <f t="shared" si="23"/>
        <v>0</v>
      </c>
      <c r="AW85" s="16"/>
      <c r="AX85" s="16">
        <f t="shared" si="3"/>
        <v>0</v>
      </c>
      <c r="AY85" s="16"/>
      <c r="AZ85" s="16">
        <f t="shared" si="24"/>
        <v>0</v>
      </c>
      <c r="BA85" s="16"/>
      <c r="BB85" s="16">
        <f t="shared" si="25"/>
        <v>0</v>
      </c>
      <c r="BC85" s="11">
        <f t="shared" si="26"/>
        <v>0</v>
      </c>
      <c r="BD85" s="17"/>
      <c r="BE85" s="17"/>
      <c r="BF85" s="17">
        <v>500</v>
      </c>
      <c r="BG85" s="16">
        <f t="shared" si="5"/>
        <v>11500000</v>
      </c>
      <c r="BH85" s="17"/>
      <c r="BI85" s="17"/>
    </row>
    <row r="86" spans="1:61" ht="12.75">
      <c r="A86" s="38">
        <v>35970</v>
      </c>
      <c r="B86" s="39" t="s">
        <v>34</v>
      </c>
      <c r="C86" s="40" t="s">
        <v>875</v>
      </c>
      <c r="D86" s="40" t="s">
        <v>821</v>
      </c>
      <c r="E86" s="17"/>
      <c r="F86" s="16">
        <f t="shared" si="0"/>
        <v>0</v>
      </c>
      <c r="G86" s="17"/>
      <c r="H86" s="16">
        <f t="shared" si="1"/>
        <v>0</v>
      </c>
      <c r="I86" s="16"/>
      <c r="J86" s="16">
        <f t="shared" si="6"/>
        <v>0</v>
      </c>
      <c r="K86" s="16"/>
      <c r="L86" s="16">
        <f t="shared" si="7"/>
        <v>0</v>
      </c>
      <c r="M86" s="16"/>
      <c r="N86" s="16">
        <f t="shared" si="8"/>
        <v>0</v>
      </c>
      <c r="O86" s="16"/>
      <c r="P86" s="16">
        <f t="shared" si="9"/>
        <v>0</v>
      </c>
      <c r="Q86" s="16"/>
      <c r="R86" s="16">
        <f t="shared" si="10"/>
        <v>0</v>
      </c>
      <c r="S86" s="16"/>
      <c r="T86" s="16">
        <f t="shared" si="11"/>
        <v>0</v>
      </c>
      <c r="U86" s="16"/>
      <c r="V86" s="16">
        <f t="shared" si="12"/>
        <v>0</v>
      </c>
      <c r="W86" s="16"/>
      <c r="X86" s="16"/>
      <c r="Y86" s="16"/>
      <c r="Z86" s="16">
        <f t="shared" si="13"/>
        <v>0</v>
      </c>
      <c r="AA86" s="16"/>
      <c r="AB86" s="16">
        <f t="shared" si="14"/>
        <v>0</v>
      </c>
      <c r="AC86" s="16"/>
      <c r="AD86" s="16">
        <f t="shared" si="15"/>
        <v>0</v>
      </c>
      <c r="AE86" s="16"/>
      <c r="AF86" s="16">
        <f t="shared" si="16"/>
        <v>0</v>
      </c>
      <c r="AG86" s="16"/>
      <c r="AH86" s="16">
        <f t="shared" si="17"/>
        <v>0</v>
      </c>
      <c r="AI86" s="16"/>
      <c r="AJ86" s="16">
        <f t="shared" si="18"/>
        <v>0</v>
      </c>
      <c r="AK86" s="16"/>
      <c r="AL86" s="16">
        <f t="shared" si="19"/>
        <v>0</v>
      </c>
      <c r="AM86" s="16"/>
      <c r="AN86" s="16">
        <f t="shared" si="2"/>
        <v>0</v>
      </c>
      <c r="AO86" s="16"/>
      <c r="AP86" s="16">
        <f t="shared" si="20"/>
        <v>0</v>
      </c>
      <c r="AQ86" s="16"/>
      <c r="AR86" s="16">
        <f t="shared" si="21"/>
        <v>0</v>
      </c>
      <c r="AS86" s="16"/>
      <c r="AT86" s="16">
        <f t="shared" si="22"/>
        <v>0</v>
      </c>
      <c r="AU86" s="16"/>
      <c r="AV86" s="16">
        <f t="shared" si="23"/>
        <v>0</v>
      </c>
      <c r="AW86" s="16"/>
      <c r="AX86" s="16">
        <f t="shared" si="3"/>
        <v>0</v>
      </c>
      <c r="AY86" s="16"/>
      <c r="AZ86" s="16">
        <f t="shared" si="24"/>
        <v>0</v>
      </c>
      <c r="BA86" s="16"/>
      <c r="BB86" s="16">
        <f t="shared" si="25"/>
        <v>0</v>
      </c>
      <c r="BC86" s="11">
        <f t="shared" si="26"/>
        <v>0</v>
      </c>
      <c r="BD86" s="17"/>
      <c r="BE86" s="17"/>
      <c r="BF86" s="17"/>
      <c r="BG86" s="16">
        <f t="shared" si="5"/>
        <v>0</v>
      </c>
      <c r="BH86" s="17">
        <v>2000</v>
      </c>
      <c r="BI86" s="16">
        <f>+BH86*6885.76</f>
        <v>13771520</v>
      </c>
    </row>
    <row r="87" spans="1:61" ht="12.75">
      <c r="A87" s="38">
        <v>35951</v>
      </c>
      <c r="B87" s="39" t="s">
        <v>39</v>
      </c>
      <c r="C87" s="40" t="s">
        <v>158</v>
      </c>
      <c r="D87" s="40" t="s">
        <v>821</v>
      </c>
      <c r="E87" s="17"/>
      <c r="F87" s="16">
        <f t="shared" si="0"/>
        <v>0</v>
      </c>
      <c r="G87" s="17"/>
      <c r="H87" s="16">
        <f t="shared" si="1"/>
        <v>0</v>
      </c>
      <c r="I87" s="16"/>
      <c r="J87" s="16">
        <f t="shared" si="6"/>
        <v>0</v>
      </c>
      <c r="K87" s="16"/>
      <c r="L87" s="16">
        <f t="shared" si="7"/>
        <v>0</v>
      </c>
      <c r="M87" s="16"/>
      <c r="N87" s="16">
        <f t="shared" si="8"/>
        <v>0</v>
      </c>
      <c r="O87" s="16"/>
      <c r="P87" s="16">
        <f t="shared" si="9"/>
        <v>0</v>
      </c>
      <c r="Q87" s="16"/>
      <c r="R87" s="16">
        <f t="shared" si="10"/>
        <v>0</v>
      </c>
      <c r="S87" s="16"/>
      <c r="T87" s="16">
        <f t="shared" si="11"/>
        <v>0</v>
      </c>
      <c r="U87" s="16"/>
      <c r="V87" s="16">
        <f t="shared" si="12"/>
        <v>0</v>
      </c>
      <c r="W87" s="16"/>
      <c r="X87" s="16"/>
      <c r="Y87" s="16"/>
      <c r="Z87" s="16">
        <f t="shared" si="13"/>
        <v>0</v>
      </c>
      <c r="AA87" s="16"/>
      <c r="AB87" s="16">
        <f t="shared" si="14"/>
        <v>0</v>
      </c>
      <c r="AC87" s="16"/>
      <c r="AD87" s="16">
        <f t="shared" si="15"/>
        <v>0</v>
      </c>
      <c r="AE87" s="16"/>
      <c r="AF87" s="16">
        <f t="shared" si="16"/>
        <v>0</v>
      </c>
      <c r="AG87" s="16"/>
      <c r="AH87" s="16">
        <f t="shared" si="17"/>
        <v>0</v>
      </c>
      <c r="AI87" s="16"/>
      <c r="AJ87" s="16">
        <f t="shared" si="18"/>
        <v>0</v>
      </c>
      <c r="AK87" s="16"/>
      <c r="AL87" s="16">
        <f t="shared" si="19"/>
        <v>0</v>
      </c>
      <c r="AM87" s="16"/>
      <c r="AN87" s="16">
        <f t="shared" si="2"/>
        <v>0</v>
      </c>
      <c r="AO87" s="16"/>
      <c r="AP87" s="16">
        <f t="shared" si="20"/>
        <v>0</v>
      </c>
      <c r="AQ87" s="16"/>
      <c r="AR87" s="16">
        <f t="shared" si="21"/>
        <v>0</v>
      </c>
      <c r="AS87" s="16"/>
      <c r="AT87" s="16">
        <f t="shared" si="22"/>
        <v>0</v>
      </c>
      <c r="AU87" s="16"/>
      <c r="AV87" s="16">
        <f t="shared" si="23"/>
        <v>0</v>
      </c>
      <c r="AW87" s="16"/>
      <c r="AX87" s="16">
        <f t="shared" si="3"/>
        <v>0</v>
      </c>
      <c r="AY87" s="16"/>
      <c r="AZ87" s="16">
        <f t="shared" si="24"/>
        <v>0</v>
      </c>
      <c r="BA87" s="16"/>
      <c r="BB87" s="16">
        <f t="shared" si="25"/>
        <v>0</v>
      </c>
      <c r="BC87" s="11">
        <f t="shared" si="26"/>
        <v>0</v>
      </c>
      <c r="BD87" s="17"/>
      <c r="BE87" s="17"/>
      <c r="BF87" s="17">
        <v>100</v>
      </c>
      <c r="BG87" s="16">
        <f t="shared" si="5"/>
        <v>2300000</v>
      </c>
      <c r="BH87" s="17"/>
      <c r="BI87" s="17"/>
    </row>
    <row r="88" spans="1:61" ht="12.75">
      <c r="A88" s="38">
        <v>35962</v>
      </c>
      <c r="B88" s="39" t="s">
        <v>882</v>
      </c>
      <c r="C88" s="40" t="s">
        <v>308</v>
      </c>
      <c r="D88" s="40" t="s">
        <v>821</v>
      </c>
      <c r="E88" s="17"/>
      <c r="F88" s="16">
        <f t="shared" si="0"/>
        <v>0</v>
      </c>
      <c r="G88" s="17"/>
      <c r="H88" s="16">
        <f t="shared" si="1"/>
        <v>0</v>
      </c>
      <c r="I88" s="16"/>
      <c r="J88" s="16">
        <f t="shared" si="6"/>
        <v>0</v>
      </c>
      <c r="K88" s="16"/>
      <c r="L88" s="16">
        <f t="shared" si="7"/>
        <v>0</v>
      </c>
      <c r="M88" s="16"/>
      <c r="N88" s="16">
        <f t="shared" si="8"/>
        <v>0</v>
      </c>
      <c r="O88" s="16"/>
      <c r="P88" s="16">
        <f t="shared" si="9"/>
        <v>0</v>
      </c>
      <c r="Q88" s="16"/>
      <c r="R88" s="16">
        <f t="shared" si="10"/>
        <v>0</v>
      </c>
      <c r="S88" s="16"/>
      <c r="T88" s="16">
        <f t="shared" si="11"/>
        <v>0</v>
      </c>
      <c r="U88" s="16"/>
      <c r="V88" s="16">
        <f t="shared" si="12"/>
        <v>0</v>
      </c>
      <c r="W88" s="16"/>
      <c r="X88" s="16"/>
      <c r="Y88" s="16"/>
      <c r="Z88" s="16">
        <f t="shared" si="13"/>
        <v>0</v>
      </c>
      <c r="AA88" s="16"/>
      <c r="AB88" s="16">
        <f t="shared" si="14"/>
        <v>0</v>
      </c>
      <c r="AC88" s="16"/>
      <c r="AD88" s="16">
        <f t="shared" si="15"/>
        <v>0</v>
      </c>
      <c r="AE88" s="16"/>
      <c r="AF88" s="16">
        <f t="shared" si="16"/>
        <v>0</v>
      </c>
      <c r="AG88" s="16"/>
      <c r="AH88" s="16">
        <f t="shared" si="17"/>
        <v>0</v>
      </c>
      <c r="AI88" s="16"/>
      <c r="AJ88" s="16">
        <f t="shared" si="18"/>
        <v>0</v>
      </c>
      <c r="AK88" s="16"/>
      <c r="AL88" s="16">
        <f t="shared" si="19"/>
        <v>0</v>
      </c>
      <c r="AM88" s="16"/>
      <c r="AN88" s="16">
        <f t="shared" si="2"/>
        <v>0</v>
      </c>
      <c r="AO88" s="16"/>
      <c r="AP88" s="16">
        <f t="shared" si="20"/>
        <v>0</v>
      </c>
      <c r="AQ88" s="16"/>
      <c r="AR88" s="16">
        <f t="shared" si="21"/>
        <v>0</v>
      </c>
      <c r="AS88" s="16"/>
      <c r="AT88" s="16">
        <f t="shared" si="22"/>
        <v>0</v>
      </c>
      <c r="AU88" s="16"/>
      <c r="AV88" s="16">
        <f t="shared" si="23"/>
        <v>0</v>
      </c>
      <c r="AW88" s="16"/>
      <c r="AX88" s="16">
        <f t="shared" si="3"/>
        <v>0</v>
      </c>
      <c r="AY88" s="16"/>
      <c r="AZ88" s="16">
        <f t="shared" si="24"/>
        <v>0</v>
      </c>
      <c r="BA88" s="16"/>
      <c r="BB88" s="16">
        <f t="shared" si="25"/>
        <v>0</v>
      </c>
      <c r="BC88" s="11">
        <f t="shared" si="26"/>
        <v>0</v>
      </c>
      <c r="BD88" s="17">
        <v>10000</v>
      </c>
      <c r="BE88" s="17">
        <f>+BD88*440.8</f>
        <v>4408000</v>
      </c>
      <c r="BF88" s="17"/>
      <c r="BG88" s="16">
        <f t="shared" si="5"/>
        <v>0</v>
      </c>
      <c r="BH88" s="17"/>
      <c r="BI88" s="17"/>
    </row>
    <row r="89" spans="1:61" ht="12.75">
      <c r="A89" s="38">
        <v>35974</v>
      </c>
      <c r="B89" s="39" t="s">
        <v>882</v>
      </c>
      <c r="C89" s="40" t="s">
        <v>467</v>
      </c>
      <c r="D89" s="40" t="s">
        <v>821</v>
      </c>
      <c r="E89" s="17">
        <v>420</v>
      </c>
      <c r="F89" s="16">
        <f t="shared" si="0"/>
        <v>146160</v>
      </c>
      <c r="G89" s="17">
        <v>420</v>
      </c>
      <c r="H89" s="16">
        <f t="shared" si="1"/>
        <v>124236</v>
      </c>
      <c r="I89" s="16"/>
      <c r="J89" s="16">
        <f t="shared" si="6"/>
        <v>0</v>
      </c>
      <c r="K89" s="16"/>
      <c r="L89" s="16">
        <f t="shared" si="7"/>
        <v>0</v>
      </c>
      <c r="M89" s="16"/>
      <c r="N89" s="16">
        <f t="shared" si="8"/>
        <v>0</v>
      </c>
      <c r="O89" s="16"/>
      <c r="P89" s="16">
        <f t="shared" si="9"/>
        <v>0</v>
      </c>
      <c r="Q89" s="16">
        <v>1500</v>
      </c>
      <c r="R89" s="16">
        <f t="shared" si="10"/>
        <v>40890000</v>
      </c>
      <c r="S89" s="16">
        <v>420</v>
      </c>
      <c r="T89" s="16">
        <f t="shared" si="11"/>
        <v>791700</v>
      </c>
      <c r="U89" s="16">
        <v>420</v>
      </c>
      <c r="V89" s="16">
        <f t="shared" si="12"/>
        <v>243868.8</v>
      </c>
      <c r="W89" s="16"/>
      <c r="X89" s="16"/>
      <c r="Y89" s="16"/>
      <c r="Z89" s="16">
        <f t="shared" si="13"/>
        <v>0</v>
      </c>
      <c r="AA89" s="16"/>
      <c r="AB89" s="16">
        <f t="shared" si="14"/>
        <v>0</v>
      </c>
      <c r="AC89" s="16">
        <v>420</v>
      </c>
      <c r="AD89" s="16">
        <f t="shared" si="15"/>
        <v>263088</v>
      </c>
      <c r="AE89" s="16">
        <v>350</v>
      </c>
      <c r="AF89" s="16">
        <f t="shared" si="16"/>
        <v>714154</v>
      </c>
      <c r="AG89" s="16"/>
      <c r="AH89" s="16">
        <f t="shared" si="17"/>
        <v>0</v>
      </c>
      <c r="AI89" s="16"/>
      <c r="AJ89" s="16">
        <f t="shared" si="18"/>
        <v>0</v>
      </c>
      <c r="AK89" s="16">
        <v>420</v>
      </c>
      <c r="AL89" s="16">
        <f t="shared" si="19"/>
        <v>26796</v>
      </c>
      <c r="AM89" s="16"/>
      <c r="AN89" s="16">
        <f t="shared" si="2"/>
        <v>0</v>
      </c>
      <c r="AO89" s="16">
        <v>350</v>
      </c>
      <c r="AP89" s="16">
        <f t="shared" si="20"/>
        <v>95410.00000000001</v>
      </c>
      <c r="AQ89" s="16">
        <v>350</v>
      </c>
      <c r="AR89" s="16">
        <f t="shared" si="21"/>
        <v>113680</v>
      </c>
      <c r="AS89" s="16">
        <v>350</v>
      </c>
      <c r="AT89" s="16">
        <f t="shared" si="22"/>
        <v>113330</v>
      </c>
      <c r="AU89" s="16">
        <v>900</v>
      </c>
      <c r="AV89" s="16">
        <f t="shared" si="23"/>
        <v>5819184</v>
      </c>
      <c r="AW89" s="16">
        <v>900</v>
      </c>
      <c r="AX89" s="16">
        <f t="shared" si="3"/>
        <v>5707917</v>
      </c>
      <c r="AY89" s="16">
        <v>420</v>
      </c>
      <c r="AZ89" s="16">
        <f t="shared" si="24"/>
        <v>1356402.6</v>
      </c>
      <c r="BA89" s="16"/>
      <c r="BB89" s="16">
        <f t="shared" si="25"/>
        <v>0</v>
      </c>
      <c r="BC89" s="11">
        <f t="shared" si="26"/>
        <v>56405926.4</v>
      </c>
      <c r="BD89" s="17"/>
      <c r="BE89" s="17"/>
      <c r="BF89" s="17">
        <v>600</v>
      </c>
      <c r="BG89" s="16">
        <f t="shared" si="5"/>
        <v>13800000</v>
      </c>
      <c r="BH89" s="17">
        <v>1800</v>
      </c>
      <c r="BI89" s="16">
        <f>+BH89*6885.76</f>
        <v>12394368</v>
      </c>
    </row>
    <row r="90" spans="1:61" ht="22.5">
      <c r="A90" s="38">
        <v>35963</v>
      </c>
      <c r="B90" s="39" t="s">
        <v>92</v>
      </c>
      <c r="C90" s="40" t="s">
        <v>471</v>
      </c>
      <c r="D90" s="40" t="s">
        <v>821</v>
      </c>
      <c r="E90" s="17"/>
      <c r="F90" s="16">
        <f t="shared" si="0"/>
        <v>0</v>
      </c>
      <c r="G90" s="17"/>
      <c r="H90" s="16">
        <f t="shared" si="1"/>
        <v>0</v>
      </c>
      <c r="I90" s="16"/>
      <c r="J90" s="16">
        <f t="shared" si="6"/>
        <v>0</v>
      </c>
      <c r="K90" s="16"/>
      <c r="L90" s="16">
        <f t="shared" si="7"/>
        <v>0</v>
      </c>
      <c r="M90" s="16"/>
      <c r="N90" s="16">
        <f t="shared" si="8"/>
        <v>0</v>
      </c>
      <c r="O90" s="16"/>
      <c r="P90" s="16">
        <f t="shared" si="9"/>
        <v>0</v>
      </c>
      <c r="Q90" s="16">
        <v>1000</v>
      </c>
      <c r="R90" s="16">
        <f t="shared" si="10"/>
        <v>27260000</v>
      </c>
      <c r="S90" s="16"/>
      <c r="T90" s="16">
        <f t="shared" si="11"/>
        <v>0</v>
      </c>
      <c r="U90" s="16"/>
      <c r="V90" s="16">
        <f t="shared" si="12"/>
        <v>0</v>
      </c>
      <c r="W90" s="16"/>
      <c r="X90" s="16"/>
      <c r="Y90" s="16"/>
      <c r="Z90" s="16">
        <f t="shared" si="13"/>
        <v>0</v>
      </c>
      <c r="AA90" s="16"/>
      <c r="AB90" s="16">
        <f t="shared" si="14"/>
        <v>0</v>
      </c>
      <c r="AC90" s="16"/>
      <c r="AD90" s="16">
        <f t="shared" si="15"/>
        <v>0</v>
      </c>
      <c r="AE90" s="16">
        <v>500</v>
      </c>
      <c r="AF90" s="16">
        <f t="shared" si="16"/>
        <v>1020220</v>
      </c>
      <c r="AG90" s="16"/>
      <c r="AH90" s="16">
        <f t="shared" si="17"/>
        <v>0</v>
      </c>
      <c r="AI90" s="16"/>
      <c r="AJ90" s="16">
        <f t="shared" si="18"/>
        <v>0</v>
      </c>
      <c r="AK90" s="16"/>
      <c r="AL90" s="16">
        <f t="shared" si="19"/>
        <v>0</v>
      </c>
      <c r="AM90" s="16">
        <v>10</v>
      </c>
      <c r="AN90" s="16">
        <f t="shared" si="2"/>
        <v>2550173.1</v>
      </c>
      <c r="AO90" s="16">
        <v>500</v>
      </c>
      <c r="AP90" s="16">
        <f t="shared" si="20"/>
        <v>136300</v>
      </c>
      <c r="AQ90" s="16">
        <v>500</v>
      </c>
      <c r="AR90" s="16">
        <f t="shared" si="21"/>
        <v>162400</v>
      </c>
      <c r="AS90" s="16">
        <v>500</v>
      </c>
      <c r="AT90" s="16">
        <f t="shared" si="22"/>
        <v>161900</v>
      </c>
      <c r="AU90" s="16"/>
      <c r="AV90" s="16">
        <f t="shared" si="23"/>
        <v>0</v>
      </c>
      <c r="AW90" s="16">
        <v>1000</v>
      </c>
      <c r="AX90" s="16">
        <f t="shared" si="3"/>
        <v>6342130</v>
      </c>
      <c r="AY90" s="16"/>
      <c r="AZ90" s="16">
        <f t="shared" si="24"/>
        <v>0</v>
      </c>
      <c r="BA90" s="16">
        <v>1000</v>
      </c>
      <c r="BB90" s="16">
        <f t="shared" si="25"/>
        <v>7141470</v>
      </c>
      <c r="BC90" s="11">
        <f t="shared" si="26"/>
        <v>44774593.1</v>
      </c>
      <c r="BD90" s="17"/>
      <c r="BE90" s="17"/>
      <c r="BF90" s="17">
        <v>500</v>
      </c>
      <c r="BG90" s="16">
        <f t="shared" si="5"/>
        <v>11500000</v>
      </c>
      <c r="BH90" s="17"/>
      <c r="BI90" s="17"/>
    </row>
    <row r="91" spans="1:61" ht="12.75">
      <c r="A91" s="38">
        <v>35955</v>
      </c>
      <c r="B91" s="39" t="s">
        <v>899</v>
      </c>
      <c r="C91" s="40" t="s">
        <v>473</v>
      </c>
      <c r="D91" s="40" t="s">
        <v>821</v>
      </c>
      <c r="E91" s="17">
        <v>40</v>
      </c>
      <c r="F91" s="16">
        <f t="shared" si="0"/>
        <v>13920</v>
      </c>
      <c r="G91" s="17">
        <v>40</v>
      </c>
      <c r="H91" s="16">
        <f t="shared" si="1"/>
        <v>11832</v>
      </c>
      <c r="I91" s="16"/>
      <c r="J91" s="16">
        <f t="shared" si="6"/>
        <v>0</v>
      </c>
      <c r="K91" s="16"/>
      <c r="L91" s="16">
        <f t="shared" si="7"/>
        <v>0</v>
      </c>
      <c r="M91" s="16">
        <v>50</v>
      </c>
      <c r="N91" s="16">
        <f t="shared" si="8"/>
        <v>124259.99999999999</v>
      </c>
      <c r="O91" s="16"/>
      <c r="P91" s="16">
        <f t="shared" si="9"/>
        <v>0</v>
      </c>
      <c r="Q91" s="16">
        <v>30</v>
      </c>
      <c r="R91" s="16">
        <f t="shared" si="10"/>
        <v>817800</v>
      </c>
      <c r="S91" s="16">
        <v>40</v>
      </c>
      <c r="T91" s="16">
        <f t="shared" si="11"/>
        <v>75400</v>
      </c>
      <c r="U91" s="16">
        <v>40</v>
      </c>
      <c r="V91" s="16">
        <f t="shared" si="12"/>
        <v>23225.6</v>
      </c>
      <c r="W91" s="16"/>
      <c r="X91" s="16"/>
      <c r="Y91" s="16"/>
      <c r="Z91" s="16">
        <f t="shared" si="13"/>
        <v>0</v>
      </c>
      <c r="AA91" s="16"/>
      <c r="AB91" s="16">
        <f t="shared" si="14"/>
        <v>0</v>
      </c>
      <c r="AC91" s="16">
        <v>40</v>
      </c>
      <c r="AD91" s="16">
        <f t="shared" si="15"/>
        <v>25056</v>
      </c>
      <c r="AE91" s="16">
        <v>40</v>
      </c>
      <c r="AF91" s="16">
        <f t="shared" si="16"/>
        <v>81617.6</v>
      </c>
      <c r="AG91" s="16"/>
      <c r="AH91" s="16">
        <f t="shared" si="17"/>
        <v>0</v>
      </c>
      <c r="AI91" s="16"/>
      <c r="AJ91" s="16">
        <f t="shared" si="18"/>
        <v>0</v>
      </c>
      <c r="AK91" s="16">
        <v>40</v>
      </c>
      <c r="AL91" s="16">
        <f t="shared" si="19"/>
        <v>2552</v>
      </c>
      <c r="AM91" s="16"/>
      <c r="AN91" s="16">
        <f t="shared" si="2"/>
        <v>0</v>
      </c>
      <c r="AO91" s="16">
        <v>40</v>
      </c>
      <c r="AP91" s="16">
        <f t="shared" si="20"/>
        <v>10904</v>
      </c>
      <c r="AQ91" s="16">
        <v>40</v>
      </c>
      <c r="AR91" s="16">
        <f t="shared" si="21"/>
        <v>12992</v>
      </c>
      <c r="AS91" s="16">
        <v>40</v>
      </c>
      <c r="AT91" s="16">
        <f t="shared" si="22"/>
        <v>12952</v>
      </c>
      <c r="AU91" s="16"/>
      <c r="AV91" s="16">
        <f t="shared" si="23"/>
        <v>0</v>
      </c>
      <c r="AW91" s="16"/>
      <c r="AX91" s="16">
        <f t="shared" si="3"/>
        <v>0</v>
      </c>
      <c r="AY91" s="16"/>
      <c r="AZ91" s="16">
        <f t="shared" si="24"/>
        <v>0</v>
      </c>
      <c r="BA91" s="16"/>
      <c r="BB91" s="16">
        <f t="shared" si="25"/>
        <v>0</v>
      </c>
      <c r="BC91" s="11">
        <f t="shared" si="26"/>
        <v>1212511.2000000002</v>
      </c>
      <c r="BD91" s="17"/>
      <c r="BE91" s="17"/>
      <c r="BF91" s="17">
        <v>20</v>
      </c>
      <c r="BG91" s="16">
        <f t="shared" si="5"/>
        <v>460000</v>
      </c>
      <c r="BH91" s="17">
        <v>30</v>
      </c>
      <c r="BI91" s="16">
        <f aca="true" t="shared" si="27" ref="BI91:BI97">+BH91*6885.76</f>
        <v>206572.80000000002</v>
      </c>
    </row>
    <row r="92" spans="1:61" ht="12.75">
      <c r="A92" s="38">
        <v>35955</v>
      </c>
      <c r="B92" s="39" t="s">
        <v>899</v>
      </c>
      <c r="C92" s="40" t="s">
        <v>474</v>
      </c>
      <c r="D92" s="40" t="s">
        <v>821</v>
      </c>
      <c r="E92" s="17"/>
      <c r="F92" s="16">
        <f t="shared" si="0"/>
        <v>0</v>
      </c>
      <c r="G92" s="17"/>
      <c r="H92" s="16">
        <f t="shared" si="1"/>
        <v>0</v>
      </c>
      <c r="I92" s="16"/>
      <c r="J92" s="16">
        <f t="shared" si="6"/>
        <v>0</v>
      </c>
      <c r="K92" s="16"/>
      <c r="L92" s="16">
        <f t="shared" si="7"/>
        <v>0</v>
      </c>
      <c r="M92" s="16">
        <v>30</v>
      </c>
      <c r="N92" s="16">
        <f t="shared" si="8"/>
        <v>74556</v>
      </c>
      <c r="O92" s="16"/>
      <c r="P92" s="16">
        <f t="shared" si="9"/>
        <v>0</v>
      </c>
      <c r="Q92" s="16">
        <v>25</v>
      </c>
      <c r="R92" s="16">
        <f t="shared" si="10"/>
        <v>681500</v>
      </c>
      <c r="S92" s="16"/>
      <c r="T92" s="16">
        <f t="shared" si="11"/>
        <v>0</v>
      </c>
      <c r="U92" s="16"/>
      <c r="V92" s="16">
        <f t="shared" si="12"/>
        <v>0</v>
      </c>
      <c r="W92" s="16"/>
      <c r="X92" s="16"/>
      <c r="Y92" s="16"/>
      <c r="Z92" s="16">
        <f t="shared" si="13"/>
        <v>0</v>
      </c>
      <c r="AA92" s="16"/>
      <c r="AB92" s="16">
        <f t="shared" si="14"/>
        <v>0</v>
      </c>
      <c r="AC92" s="16"/>
      <c r="AD92" s="16">
        <f t="shared" si="15"/>
        <v>0</v>
      </c>
      <c r="AE92" s="16">
        <v>25</v>
      </c>
      <c r="AF92" s="16">
        <f t="shared" si="16"/>
        <v>51011</v>
      </c>
      <c r="AG92" s="16"/>
      <c r="AH92" s="16">
        <f t="shared" si="17"/>
        <v>0</v>
      </c>
      <c r="AI92" s="16"/>
      <c r="AJ92" s="16">
        <f t="shared" si="18"/>
        <v>0</v>
      </c>
      <c r="AK92" s="16"/>
      <c r="AL92" s="16">
        <f t="shared" si="19"/>
        <v>0</v>
      </c>
      <c r="AM92" s="16"/>
      <c r="AN92" s="16">
        <f t="shared" si="2"/>
        <v>0</v>
      </c>
      <c r="AO92" s="16">
        <v>25</v>
      </c>
      <c r="AP92" s="16">
        <f t="shared" si="20"/>
        <v>6815.000000000001</v>
      </c>
      <c r="AQ92" s="16">
        <v>25</v>
      </c>
      <c r="AR92" s="16">
        <f t="shared" si="21"/>
        <v>8120</v>
      </c>
      <c r="AS92" s="16">
        <v>25</v>
      </c>
      <c r="AT92" s="16">
        <f t="shared" si="22"/>
        <v>8095</v>
      </c>
      <c r="AU92" s="16"/>
      <c r="AV92" s="16">
        <f t="shared" si="23"/>
        <v>0</v>
      </c>
      <c r="AW92" s="16"/>
      <c r="AX92" s="16">
        <f t="shared" si="3"/>
        <v>0</v>
      </c>
      <c r="AY92" s="16"/>
      <c r="AZ92" s="16">
        <f t="shared" si="24"/>
        <v>0</v>
      </c>
      <c r="BA92" s="16"/>
      <c r="BB92" s="16">
        <f t="shared" si="25"/>
        <v>0</v>
      </c>
      <c r="BC92" s="11">
        <f t="shared" si="26"/>
        <v>830097</v>
      </c>
      <c r="BD92" s="17"/>
      <c r="BE92" s="17"/>
      <c r="BF92" s="17">
        <v>25</v>
      </c>
      <c r="BG92" s="16">
        <f t="shared" si="5"/>
        <v>575000</v>
      </c>
      <c r="BH92" s="17">
        <v>50</v>
      </c>
      <c r="BI92" s="16">
        <f t="shared" si="27"/>
        <v>344288</v>
      </c>
    </row>
    <row r="93" spans="1:61" ht="12.75">
      <c r="A93" s="38">
        <v>35955</v>
      </c>
      <c r="B93" s="39" t="s">
        <v>899</v>
      </c>
      <c r="C93" s="40" t="s">
        <v>475</v>
      </c>
      <c r="D93" s="40" t="s">
        <v>821</v>
      </c>
      <c r="E93" s="17">
        <v>50</v>
      </c>
      <c r="F93" s="16">
        <f t="shared" si="0"/>
        <v>17400</v>
      </c>
      <c r="G93" s="17">
        <v>50</v>
      </c>
      <c r="H93" s="16">
        <f t="shared" si="1"/>
        <v>14790</v>
      </c>
      <c r="I93" s="16"/>
      <c r="J93" s="16">
        <f t="shared" si="6"/>
        <v>0</v>
      </c>
      <c r="K93" s="16"/>
      <c r="L93" s="16">
        <f t="shared" si="7"/>
        <v>0</v>
      </c>
      <c r="M93" s="16">
        <v>50</v>
      </c>
      <c r="N93" s="16">
        <f t="shared" si="8"/>
        <v>124259.99999999999</v>
      </c>
      <c r="O93" s="16"/>
      <c r="P93" s="16">
        <f t="shared" si="9"/>
        <v>0</v>
      </c>
      <c r="Q93" s="16">
        <v>40</v>
      </c>
      <c r="R93" s="16">
        <f t="shared" si="10"/>
        <v>1090400</v>
      </c>
      <c r="S93" s="16">
        <v>50</v>
      </c>
      <c r="T93" s="16">
        <f t="shared" si="11"/>
        <v>94250</v>
      </c>
      <c r="U93" s="16">
        <v>50</v>
      </c>
      <c r="V93" s="16">
        <f t="shared" si="12"/>
        <v>29032</v>
      </c>
      <c r="W93" s="16"/>
      <c r="X93" s="16"/>
      <c r="Y93" s="16"/>
      <c r="Z93" s="16">
        <f t="shared" si="13"/>
        <v>0</v>
      </c>
      <c r="AA93" s="16"/>
      <c r="AB93" s="16">
        <f t="shared" si="14"/>
        <v>0</v>
      </c>
      <c r="AC93" s="16">
        <v>50</v>
      </c>
      <c r="AD93" s="16">
        <f t="shared" si="15"/>
        <v>31320</v>
      </c>
      <c r="AE93" s="16">
        <v>30</v>
      </c>
      <c r="AF93" s="16">
        <f t="shared" si="16"/>
        <v>61213.200000000004</v>
      </c>
      <c r="AG93" s="16"/>
      <c r="AH93" s="16">
        <f t="shared" si="17"/>
        <v>0</v>
      </c>
      <c r="AI93" s="16"/>
      <c r="AJ93" s="16">
        <f t="shared" si="18"/>
        <v>0</v>
      </c>
      <c r="AK93" s="16">
        <v>50</v>
      </c>
      <c r="AL93" s="16">
        <f t="shared" si="19"/>
        <v>3190</v>
      </c>
      <c r="AM93" s="16"/>
      <c r="AN93" s="16">
        <f t="shared" si="2"/>
        <v>0</v>
      </c>
      <c r="AO93" s="16">
        <v>30</v>
      </c>
      <c r="AP93" s="16">
        <f t="shared" si="20"/>
        <v>8178.000000000001</v>
      </c>
      <c r="AQ93" s="16">
        <v>30</v>
      </c>
      <c r="AR93" s="16">
        <f t="shared" si="21"/>
        <v>9744</v>
      </c>
      <c r="AS93" s="16">
        <v>30</v>
      </c>
      <c r="AT93" s="16">
        <f t="shared" si="22"/>
        <v>9714</v>
      </c>
      <c r="AU93" s="16"/>
      <c r="AV93" s="16">
        <f t="shared" si="23"/>
        <v>0</v>
      </c>
      <c r="AW93" s="16"/>
      <c r="AX93" s="16">
        <f t="shared" si="3"/>
        <v>0</v>
      </c>
      <c r="AY93" s="16"/>
      <c r="AZ93" s="16">
        <f t="shared" si="24"/>
        <v>0</v>
      </c>
      <c r="BA93" s="16">
        <v>50</v>
      </c>
      <c r="BB93" s="16">
        <f t="shared" si="25"/>
        <v>357073.5</v>
      </c>
      <c r="BC93" s="11">
        <f t="shared" si="26"/>
        <v>1850564.7</v>
      </c>
      <c r="BD93" s="17"/>
      <c r="BE93" s="17"/>
      <c r="BF93" s="17">
        <v>50</v>
      </c>
      <c r="BG93" s="16">
        <f t="shared" si="5"/>
        <v>1150000</v>
      </c>
      <c r="BH93" s="17">
        <v>70</v>
      </c>
      <c r="BI93" s="16">
        <f t="shared" si="27"/>
        <v>482003.2</v>
      </c>
    </row>
    <row r="94" spans="1:61" ht="12.75">
      <c r="A94" s="38">
        <v>35962</v>
      </c>
      <c r="B94" s="39" t="s">
        <v>899</v>
      </c>
      <c r="C94" s="40" t="s">
        <v>476</v>
      </c>
      <c r="D94" s="40" t="s">
        <v>821</v>
      </c>
      <c r="E94" s="17">
        <v>30</v>
      </c>
      <c r="F94" s="16">
        <f t="shared" si="0"/>
        <v>10440</v>
      </c>
      <c r="G94" s="17">
        <v>30</v>
      </c>
      <c r="H94" s="16">
        <f t="shared" si="1"/>
        <v>8874</v>
      </c>
      <c r="I94" s="16"/>
      <c r="J94" s="16">
        <f t="shared" si="6"/>
        <v>0</v>
      </c>
      <c r="K94" s="16"/>
      <c r="L94" s="16">
        <f t="shared" si="7"/>
        <v>0</v>
      </c>
      <c r="M94" s="16"/>
      <c r="N94" s="16">
        <f t="shared" si="8"/>
        <v>0</v>
      </c>
      <c r="O94" s="16"/>
      <c r="P94" s="16">
        <f t="shared" si="9"/>
        <v>0</v>
      </c>
      <c r="Q94" s="16"/>
      <c r="R94" s="16">
        <f t="shared" si="10"/>
        <v>0</v>
      </c>
      <c r="S94" s="16">
        <v>30</v>
      </c>
      <c r="T94" s="16">
        <f t="shared" si="11"/>
        <v>56550</v>
      </c>
      <c r="U94" s="16">
        <v>30</v>
      </c>
      <c r="V94" s="16">
        <f t="shared" si="12"/>
        <v>17419.2</v>
      </c>
      <c r="W94" s="16"/>
      <c r="X94" s="16"/>
      <c r="Y94" s="16"/>
      <c r="Z94" s="16">
        <f t="shared" si="13"/>
        <v>0</v>
      </c>
      <c r="AA94" s="16"/>
      <c r="AB94" s="16">
        <f t="shared" si="14"/>
        <v>0</v>
      </c>
      <c r="AC94" s="16">
        <v>30</v>
      </c>
      <c r="AD94" s="16">
        <f t="shared" si="15"/>
        <v>18792</v>
      </c>
      <c r="AE94" s="16"/>
      <c r="AF94" s="16">
        <f t="shared" si="16"/>
        <v>0</v>
      </c>
      <c r="AG94" s="16"/>
      <c r="AH94" s="16">
        <f t="shared" si="17"/>
        <v>0</v>
      </c>
      <c r="AI94" s="16"/>
      <c r="AJ94" s="16">
        <f t="shared" si="18"/>
        <v>0</v>
      </c>
      <c r="AK94" s="16">
        <v>30</v>
      </c>
      <c r="AL94" s="16">
        <f t="shared" si="19"/>
        <v>1914</v>
      </c>
      <c r="AM94" s="16"/>
      <c r="AN94" s="16">
        <f t="shared" si="2"/>
        <v>0</v>
      </c>
      <c r="AO94" s="16"/>
      <c r="AP94" s="16">
        <f t="shared" si="20"/>
        <v>0</v>
      </c>
      <c r="AQ94" s="16"/>
      <c r="AR94" s="16">
        <f t="shared" si="21"/>
        <v>0</v>
      </c>
      <c r="AS94" s="16"/>
      <c r="AT94" s="16">
        <f t="shared" si="22"/>
        <v>0</v>
      </c>
      <c r="AU94" s="16"/>
      <c r="AV94" s="16">
        <f t="shared" si="23"/>
        <v>0</v>
      </c>
      <c r="AW94" s="16"/>
      <c r="AX94" s="16">
        <f t="shared" si="3"/>
        <v>0</v>
      </c>
      <c r="AY94" s="16"/>
      <c r="AZ94" s="16">
        <f t="shared" si="24"/>
        <v>0</v>
      </c>
      <c r="BA94" s="16">
        <v>20</v>
      </c>
      <c r="BB94" s="16">
        <f t="shared" si="25"/>
        <v>142829.4</v>
      </c>
      <c r="BC94" s="11">
        <f t="shared" si="26"/>
        <v>256818.59999999998</v>
      </c>
      <c r="BD94" s="17"/>
      <c r="BE94" s="17"/>
      <c r="BF94" s="17">
        <v>30</v>
      </c>
      <c r="BG94" s="16">
        <f t="shared" si="5"/>
        <v>690000</v>
      </c>
      <c r="BH94" s="17">
        <v>50</v>
      </c>
      <c r="BI94" s="16">
        <f t="shared" si="27"/>
        <v>344288</v>
      </c>
    </row>
    <row r="95" spans="1:61" ht="12.75">
      <c r="A95" s="38">
        <v>35965</v>
      </c>
      <c r="B95" s="39" t="s">
        <v>899</v>
      </c>
      <c r="C95" s="40" t="s">
        <v>388</v>
      </c>
      <c r="D95" s="40" t="s">
        <v>821</v>
      </c>
      <c r="E95" s="17">
        <v>30</v>
      </c>
      <c r="F95" s="16">
        <f t="shared" si="0"/>
        <v>10440</v>
      </c>
      <c r="G95" s="17">
        <v>30</v>
      </c>
      <c r="H95" s="16">
        <f t="shared" si="1"/>
        <v>8874</v>
      </c>
      <c r="I95" s="16"/>
      <c r="J95" s="16">
        <f t="shared" si="6"/>
        <v>0</v>
      </c>
      <c r="K95" s="16"/>
      <c r="L95" s="16">
        <f t="shared" si="7"/>
        <v>0</v>
      </c>
      <c r="M95" s="16"/>
      <c r="N95" s="16">
        <f t="shared" si="8"/>
        <v>0</v>
      </c>
      <c r="O95" s="16"/>
      <c r="P95" s="16">
        <f t="shared" si="9"/>
        <v>0</v>
      </c>
      <c r="Q95" s="16"/>
      <c r="R95" s="16">
        <f t="shared" si="10"/>
        <v>0</v>
      </c>
      <c r="S95" s="16">
        <v>30</v>
      </c>
      <c r="T95" s="16">
        <f t="shared" si="11"/>
        <v>56550</v>
      </c>
      <c r="U95" s="16">
        <v>30</v>
      </c>
      <c r="V95" s="16">
        <f t="shared" si="12"/>
        <v>17419.2</v>
      </c>
      <c r="W95" s="16"/>
      <c r="X95" s="16"/>
      <c r="Y95" s="16"/>
      <c r="Z95" s="16">
        <f t="shared" si="13"/>
        <v>0</v>
      </c>
      <c r="AA95" s="16"/>
      <c r="AB95" s="16">
        <f t="shared" si="14"/>
        <v>0</v>
      </c>
      <c r="AC95" s="16">
        <v>30</v>
      </c>
      <c r="AD95" s="16">
        <f t="shared" si="15"/>
        <v>18792</v>
      </c>
      <c r="AE95" s="16"/>
      <c r="AF95" s="16">
        <f t="shared" si="16"/>
        <v>0</v>
      </c>
      <c r="AG95" s="16"/>
      <c r="AH95" s="16">
        <f t="shared" si="17"/>
        <v>0</v>
      </c>
      <c r="AI95" s="16"/>
      <c r="AJ95" s="16">
        <f t="shared" si="18"/>
        <v>0</v>
      </c>
      <c r="AK95" s="16">
        <v>30</v>
      </c>
      <c r="AL95" s="16">
        <f t="shared" si="19"/>
        <v>1914</v>
      </c>
      <c r="AM95" s="16"/>
      <c r="AN95" s="16">
        <f t="shared" si="2"/>
        <v>0</v>
      </c>
      <c r="AO95" s="16"/>
      <c r="AP95" s="16">
        <f t="shared" si="20"/>
        <v>0</v>
      </c>
      <c r="AQ95" s="16"/>
      <c r="AR95" s="16">
        <f t="shared" si="21"/>
        <v>0</v>
      </c>
      <c r="AS95" s="16"/>
      <c r="AT95" s="16">
        <f t="shared" si="22"/>
        <v>0</v>
      </c>
      <c r="AU95" s="16"/>
      <c r="AV95" s="16">
        <f t="shared" si="23"/>
        <v>0</v>
      </c>
      <c r="AW95" s="16"/>
      <c r="AX95" s="16">
        <f t="shared" si="3"/>
        <v>0</v>
      </c>
      <c r="AY95" s="16"/>
      <c r="AZ95" s="16">
        <f t="shared" si="24"/>
        <v>0</v>
      </c>
      <c r="BA95" s="16">
        <v>30</v>
      </c>
      <c r="BB95" s="16">
        <f t="shared" si="25"/>
        <v>214244.1</v>
      </c>
      <c r="BC95" s="11">
        <f t="shared" si="26"/>
        <v>328233.3</v>
      </c>
      <c r="BD95" s="17"/>
      <c r="BE95" s="17"/>
      <c r="BF95" s="17">
        <v>35</v>
      </c>
      <c r="BG95" s="16">
        <f t="shared" si="5"/>
        <v>805000</v>
      </c>
      <c r="BH95" s="17">
        <v>70</v>
      </c>
      <c r="BI95" s="16">
        <f t="shared" si="27"/>
        <v>482003.2</v>
      </c>
    </row>
    <row r="96" spans="1:61" ht="22.5">
      <c r="A96" s="38">
        <v>35965</v>
      </c>
      <c r="B96" s="39" t="s">
        <v>899</v>
      </c>
      <c r="C96" s="40" t="s">
        <v>477</v>
      </c>
      <c r="D96" s="40" t="s">
        <v>821</v>
      </c>
      <c r="E96" s="17"/>
      <c r="F96" s="16">
        <f t="shared" si="0"/>
        <v>0</v>
      </c>
      <c r="G96" s="17"/>
      <c r="H96" s="16">
        <f t="shared" si="1"/>
        <v>0</v>
      </c>
      <c r="I96" s="16"/>
      <c r="J96" s="16">
        <f t="shared" si="6"/>
        <v>0</v>
      </c>
      <c r="K96" s="16"/>
      <c r="L96" s="16">
        <f t="shared" si="7"/>
        <v>0</v>
      </c>
      <c r="M96" s="16">
        <v>50</v>
      </c>
      <c r="N96" s="16">
        <f t="shared" si="8"/>
        <v>124259.99999999999</v>
      </c>
      <c r="O96" s="16"/>
      <c r="P96" s="16">
        <f t="shared" si="9"/>
        <v>0</v>
      </c>
      <c r="Q96" s="16">
        <v>40</v>
      </c>
      <c r="R96" s="16">
        <f t="shared" si="10"/>
        <v>1090400</v>
      </c>
      <c r="S96" s="16"/>
      <c r="T96" s="16">
        <f t="shared" si="11"/>
        <v>0</v>
      </c>
      <c r="U96" s="16"/>
      <c r="V96" s="16">
        <f t="shared" si="12"/>
        <v>0</v>
      </c>
      <c r="W96" s="16"/>
      <c r="X96" s="16"/>
      <c r="Y96" s="16"/>
      <c r="Z96" s="16">
        <f t="shared" si="13"/>
        <v>0</v>
      </c>
      <c r="AA96" s="16"/>
      <c r="AB96" s="16">
        <f t="shared" si="14"/>
        <v>0</v>
      </c>
      <c r="AC96" s="16"/>
      <c r="AD96" s="16">
        <f t="shared" si="15"/>
        <v>0</v>
      </c>
      <c r="AE96" s="16"/>
      <c r="AF96" s="16">
        <f t="shared" si="16"/>
        <v>0</v>
      </c>
      <c r="AG96" s="16"/>
      <c r="AH96" s="16">
        <f t="shared" si="17"/>
        <v>0</v>
      </c>
      <c r="AI96" s="16"/>
      <c r="AJ96" s="16">
        <f t="shared" si="18"/>
        <v>0</v>
      </c>
      <c r="AK96" s="16"/>
      <c r="AL96" s="16">
        <f t="shared" si="19"/>
        <v>0</v>
      </c>
      <c r="AM96" s="16"/>
      <c r="AN96" s="16">
        <f t="shared" si="2"/>
        <v>0</v>
      </c>
      <c r="AO96" s="16"/>
      <c r="AP96" s="16">
        <f t="shared" si="20"/>
        <v>0</v>
      </c>
      <c r="AQ96" s="16"/>
      <c r="AR96" s="16">
        <f t="shared" si="21"/>
        <v>0</v>
      </c>
      <c r="AS96" s="16"/>
      <c r="AT96" s="16">
        <f t="shared" si="22"/>
        <v>0</v>
      </c>
      <c r="AU96" s="16"/>
      <c r="AV96" s="16">
        <f t="shared" si="23"/>
        <v>0</v>
      </c>
      <c r="AW96" s="16"/>
      <c r="AX96" s="16">
        <f t="shared" si="3"/>
        <v>0</v>
      </c>
      <c r="AY96" s="16"/>
      <c r="AZ96" s="16">
        <f t="shared" si="24"/>
        <v>0</v>
      </c>
      <c r="BA96" s="16">
        <v>25</v>
      </c>
      <c r="BB96" s="16">
        <f t="shared" si="25"/>
        <v>178536.75</v>
      </c>
      <c r="BC96" s="11">
        <f t="shared" si="26"/>
        <v>1393196.75</v>
      </c>
      <c r="BD96" s="17"/>
      <c r="BE96" s="17"/>
      <c r="BF96" s="17"/>
      <c r="BG96" s="16">
        <f t="shared" si="5"/>
        <v>0</v>
      </c>
      <c r="BH96" s="17">
        <v>70</v>
      </c>
      <c r="BI96" s="16">
        <f t="shared" si="27"/>
        <v>482003.2</v>
      </c>
    </row>
    <row r="97" spans="1:61" ht="12.75">
      <c r="A97" s="38">
        <v>35958</v>
      </c>
      <c r="B97" s="39" t="s">
        <v>904</v>
      </c>
      <c r="C97" s="40" t="s">
        <v>396</v>
      </c>
      <c r="D97" s="40" t="s">
        <v>821</v>
      </c>
      <c r="E97" s="17"/>
      <c r="F97" s="16">
        <f t="shared" si="0"/>
        <v>0</v>
      </c>
      <c r="G97" s="17"/>
      <c r="H97" s="16">
        <f t="shared" si="1"/>
        <v>0</v>
      </c>
      <c r="I97" s="16"/>
      <c r="J97" s="16">
        <f t="shared" si="6"/>
        <v>0</v>
      </c>
      <c r="K97" s="16"/>
      <c r="L97" s="16">
        <f t="shared" si="7"/>
        <v>0</v>
      </c>
      <c r="M97" s="16"/>
      <c r="N97" s="16">
        <f t="shared" si="8"/>
        <v>0</v>
      </c>
      <c r="O97" s="16"/>
      <c r="P97" s="16">
        <f t="shared" si="9"/>
        <v>0</v>
      </c>
      <c r="Q97" s="16"/>
      <c r="R97" s="16">
        <f t="shared" si="10"/>
        <v>0</v>
      </c>
      <c r="S97" s="16"/>
      <c r="T97" s="16">
        <f t="shared" si="11"/>
        <v>0</v>
      </c>
      <c r="U97" s="16"/>
      <c r="V97" s="16">
        <f t="shared" si="12"/>
        <v>0</v>
      </c>
      <c r="W97" s="16"/>
      <c r="X97" s="16"/>
      <c r="Y97" s="16"/>
      <c r="Z97" s="16">
        <f t="shared" si="13"/>
        <v>0</v>
      </c>
      <c r="AA97" s="16"/>
      <c r="AB97" s="16">
        <f t="shared" si="14"/>
        <v>0</v>
      </c>
      <c r="AC97" s="16"/>
      <c r="AD97" s="16">
        <f t="shared" si="15"/>
        <v>0</v>
      </c>
      <c r="AE97" s="16"/>
      <c r="AF97" s="16">
        <f t="shared" si="16"/>
        <v>0</v>
      </c>
      <c r="AG97" s="16"/>
      <c r="AH97" s="16">
        <f t="shared" si="17"/>
        <v>0</v>
      </c>
      <c r="AI97" s="16"/>
      <c r="AJ97" s="16">
        <f t="shared" si="18"/>
        <v>0</v>
      </c>
      <c r="AK97" s="16"/>
      <c r="AL97" s="16">
        <f t="shared" si="19"/>
        <v>0</v>
      </c>
      <c r="AM97" s="16"/>
      <c r="AN97" s="16">
        <f t="shared" si="2"/>
        <v>0</v>
      </c>
      <c r="AO97" s="16"/>
      <c r="AP97" s="16">
        <f t="shared" si="20"/>
        <v>0</v>
      </c>
      <c r="AQ97" s="16"/>
      <c r="AR97" s="16">
        <f t="shared" si="21"/>
        <v>0</v>
      </c>
      <c r="AS97" s="16"/>
      <c r="AT97" s="16">
        <f t="shared" si="22"/>
        <v>0</v>
      </c>
      <c r="AU97" s="16"/>
      <c r="AV97" s="16">
        <f t="shared" si="23"/>
        <v>0</v>
      </c>
      <c r="AW97" s="16"/>
      <c r="AX97" s="16">
        <f t="shared" si="3"/>
        <v>0</v>
      </c>
      <c r="AY97" s="16"/>
      <c r="AZ97" s="16">
        <f t="shared" si="24"/>
        <v>0</v>
      </c>
      <c r="BA97" s="16"/>
      <c r="BB97" s="16">
        <f t="shared" si="25"/>
        <v>0</v>
      </c>
      <c r="BC97" s="11">
        <f t="shared" si="26"/>
        <v>0</v>
      </c>
      <c r="BD97" s="17"/>
      <c r="BE97" s="17"/>
      <c r="BF97" s="17"/>
      <c r="BG97" s="16">
        <f t="shared" si="5"/>
        <v>0</v>
      </c>
      <c r="BH97" s="17">
        <v>440</v>
      </c>
      <c r="BI97" s="16">
        <f t="shared" si="27"/>
        <v>3029734.4</v>
      </c>
    </row>
    <row r="98" spans="1:61" ht="12.75">
      <c r="A98" s="38">
        <v>35958</v>
      </c>
      <c r="B98" s="39" t="s">
        <v>904</v>
      </c>
      <c r="C98" s="40" t="s">
        <v>875</v>
      </c>
      <c r="D98" s="40" t="s">
        <v>821</v>
      </c>
      <c r="E98" s="17"/>
      <c r="F98" s="16">
        <f t="shared" si="0"/>
        <v>0</v>
      </c>
      <c r="G98" s="17"/>
      <c r="H98" s="16">
        <f t="shared" si="1"/>
        <v>0</v>
      </c>
      <c r="I98" s="16"/>
      <c r="J98" s="16">
        <f t="shared" si="6"/>
        <v>0</v>
      </c>
      <c r="K98" s="16"/>
      <c r="L98" s="16">
        <f t="shared" si="7"/>
        <v>0</v>
      </c>
      <c r="M98" s="16"/>
      <c r="N98" s="16">
        <f t="shared" si="8"/>
        <v>0</v>
      </c>
      <c r="O98" s="16"/>
      <c r="P98" s="16">
        <f t="shared" si="9"/>
        <v>0</v>
      </c>
      <c r="Q98" s="16">
        <v>258</v>
      </c>
      <c r="R98" s="16">
        <f t="shared" si="10"/>
        <v>7033080</v>
      </c>
      <c r="S98" s="16"/>
      <c r="T98" s="16">
        <f t="shared" si="11"/>
        <v>0</v>
      </c>
      <c r="U98" s="16"/>
      <c r="V98" s="16">
        <f t="shared" si="12"/>
        <v>0</v>
      </c>
      <c r="W98" s="16"/>
      <c r="X98" s="16"/>
      <c r="Y98" s="16"/>
      <c r="Z98" s="16">
        <f t="shared" si="13"/>
        <v>0</v>
      </c>
      <c r="AA98" s="16"/>
      <c r="AB98" s="16">
        <f t="shared" si="14"/>
        <v>0</v>
      </c>
      <c r="AC98" s="16"/>
      <c r="AD98" s="16">
        <f t="shared" si="15"/>
        <v>0</v>
      </c>
      <c r="AE98" s="16">
        <v>100</v>
      </c>
      <c r="AF98" s="16">
        <f t="shared" si="16"/>
        <v>204044</v>
      </c>
      <c r="AG98" s="16"/>
      <c r="AH98" s="16">
        <f t="shared" si="17"/>
        <v>0</v>
      </c>
      <c r="AI98" s="16"/>
      <c r="AJ98" s="16">
        <f t="shared" si="18"/>
        <v>0</v>
      </c>
      <c r="AK98" s="16"/>
      <c r="AL98" s="16">
        <f t="shared" si="19"/>
        <v>0</v>
      </c>
      <c r="AM98" s="16"/>
      <c r="AN98" s="16">
        <f t="shared" si="2"/>
        <v>0</v>
      </c>
      <c r="AO98" s="16">
        <v>100</v>
      </c>
      <c r="AP98" s="16">
        <f t="shared" si="20"/>
        <v>27260.000000000004</v>
      </c>
      <c r="AQ98" s="16">
        <v>100</v>
      </c>
      <c r="AR98" s="16">
        <f t="shared" si="21"/>
        <v>32480</v>
      </c>
      <c r="AS98" s="16"/>
      <c r="AT98" s="16">
        <f t="shared" si="22"/>
        <v>0</v>
      </c>
      <c r="AU98" s="16"/>
      <c r="AV98" s="16">
        <f t="shared" si="23"/>
        <v>0</v>
      </c>
      <c r="AW98" s="16"/>
      <c r="AX98" s="16">
        <f t="shared" si="3"/>
        <v>0</v>
      </c>
      <c r="AY98" s="16"/>
      <c r="AZ98" s="16">
        <f t="shared" si="24"/>
        <v>0</v>
      </c>
      <c r="BA98" s="16">
        <v>249</v>
      </c>
      <c r="BB98" s="16">
        <f t="shared" si="25"/>
        <v>1778226.03</v>
      </c>
      <c r="BC98" s="11">
        <f t="shared" si="26"/>
        <v>9075090.03</v>
      </c>
      <c r="BD98" s="17"/>
      <c r="BE98" s="17"/>
      <c r="BF98" s="17">
        <v>200</v>
      </c>
      <c r="BG98" s="16">
        <f t="shared" si="5"/>
        <v>4600000</v>
      </c>
      <c r="BH98" s="17"/>
      <c r="BI98" s="17"/>
    </row>
    <row r="99" spans="1:61" ht="12.75">
      <c r="A99" s="38">
        <v>35958</v>
      </c>
      <c r="B99" s="39" t="s">
        <v>100</v>
      </c>
      <c r="C99" s="40" t="s">
        <v>481</v>
      </c>
      <c r="D99" s="40" t="s">
        <v>821</v>
      </c>
      <c r="E99" s="17"/>
      <c r="F99" s="16">
        <f t="shared" si="0"/>
        <v>0</v>
      </c>
      <c r="G99" s="17"/>
      <c r="H99" s="16">
        <f t="shared" si="1"/>
        <v>0</v>
      </c>
      <c r="I99" s="16"/>
      <c r="J99" s="16">
        <f t="shared" si="6"/>
        <v>0</v>
      </c>
      <c r="K99" s="16"/>
      <c r="L99" s="16">
        <f t="shared" si="7"/>
        <v>0</v>
      </c>
      <c r="M99" s="16"/>
      <c r="N99" s="16">
        <f t="shared" si="8"/>
        <v>0</v>
      </c>
      <c r="O99" s="16"/>
      <c r="P99" s="16">
        <f t="shared" si="9"/>
        <v>0</v>
      </c>
      <c r="Q99" s="16">
        <v>750</v>
      </c>
      <c r="R99" s="16">
        <f t="shared" si="10"/>
        <v>20445000</v>
      </c>
      <c r="S99" s="16"/>
      <c r="T99" s="16">
        <f t="shared" si="11"/>
        <v>0</v>
      </c>
      <c r="U99" s="16"/>
      <c r="V99" s="16">
        <f t="shared" si="12"/>
        <v>0</v>
      </c>
      <c r="W99" s="16"/>
      <c r="X99" s="16"/>
      <c r="Y99" s="16"/>
      <c r="Z99" s="16">
        <f t="shared" si="13"/>
        <v>0</v>
      </c>
      <c r="AA99" s="16"/>
      <c r="AB99" s="16">
        <f t="shared" si="14"/>
        <v>0</v>
      </c>
      <c r="AC99" s="16"/>
      <c r="AD99" s="16">
        <f t="shared" si="15"/>
        <v>0</v>
      </c>
      <c r="AE99" s="16"/>
      <c r="AF99" s="16">
        <f t="shared" si="16"/>
        <v>0</v>
      </c>
      <c r="AG99" s="16"/>
      <c r="AH99" s="16">
        <f t="shared" si="17"/>
        <v>0</v>
      </c>
      <c r="AI99" s="16"/>
      <c r="AJ99" s="16">
        <f t="shared" si="18"/>
        <v>0</v>
      </c>
      <c r="AK99" s="16"/>
      <c r="AL99" s="16">
        <f t="shared" si="19"/>
        <v>0</v>
      </c>
      <c r="AM99" s="16"/>
      <c r="AN99" s="16">
        <f t="shared" si="2"/>
        <v>0</v>
      </c>
      <c r="AO99" s="16"/>
      <c r="AP99" s="16">
        <f t="shared" si="20"/>
        <v>0</v>
      </c>
      <c r="AQ99" s="16"/>
      <c r="AR99" s="16">
        <f t="shared" si="21"/>
        <v>0</v>
      </c>
      <c r="AS99" s="16"/>
      <c r="AT99" s="16">
        <f t="shared" si="22"/>
        <v>0</v>
      </c>
      <c r="AU99" s="16">
        <v>750</v>
      </c>
      <c r="AV99" s="16">
        <f t="shared" si="23"/>
        <v>4849320</v>
      </c>
      <c r="AW99" s="16">
        <v>750</v>
      </c>
      <c r="AX99" s="16">
        <f t="shared" si="3"/>
        <v>4756597.5</v>
      </c>
      <c r="AY99" s="16"/>
      <c r="AZ99" s="16">
        <f t="shared" si="24"/>
        <v>0</v>
      </c>
      <c r="BA99" s="16"/>
      <c r="BB99" s="16">
        <f t="shared" si="25"/>
        <v>0</v>
      </c>
      <c r="BC99" s="11">
        <f t="shared" si="26"/>
        <v>30050917.5</v>
      </c>
      <c r="BD99" s="17"/>
      <c r="BE99" s="17"/>
      <c r="BF99" s="17">
        <v>380</v>
      </c>
      <c r="BG99" s="16">
        <f t="shared" si="5"/>
        <v>8740000</v>
      </c>
      <c r="BH99" s="17">
        <v>1500</v>
      </c>
      <c r="BI99" s="16">
        <f>+BH99*6885.76</f>
        <v>10328640</v>
      </c>
    </row>
    <row r="100" spans="1:61" ht="12.75">
      <c r="A100" s="38">
        <v>35958</v>
      </c>
      <c r="B100" s="39" t="s">
        <v>100</v>
      </c>
      <c r="C100" s="40" t="s">
        <v>481</v>
      </c>
      <c r="D100" s="40" t="s">
        <v>821</v>
      </c>
      <c r="E100" s="17"/>
      <c r="F100" s="16">
        <f t="shared" si="0"/>
        <v>0</v>
      </c>
      <c r="G100" s="17"/>
      <c r="H100" s="16">
        <f t="shared" si="1"/>
        <v>0</v>
      </c>
      <c r="I100" s="16"/>
      <c r="J100" s="16">
        <f t="shared" si="6"/>
        <v>0</v>
      </c>
      <c r="K100" s="16"/>
      <c r="L100" s="16">
        <f t="shared" si="7"/>
        <v>0</v>
      </c>
      <c r="M100" s="16"/>
      <c r="N100" s="16">
        <f t="shared" si="8"/>
        <v>0</v>
      </c>
      <c r="O100" s="16"/>
      <c r="P100" s="16">
        <f t="shared" si="9"/>
        <v>0</v>
      </c>
      <c r="Q100" s="16">
        <v>132</v>
      </c>
      <c r="R100" s="16">
        <f t="shared" si="10"/>
        <v>3598320</v>
      </c>
      <c r="S100" s="16"/>
      <c r="T100" s="16">
        <f t="shared" si="11"/>
        <v>0</v>
      </c>
      <c r="U100" s="16"/>
      <c r="V100" s="16">
        <f t="shared" si="12"/>
        <v>0</v>
      </c>
      <c r="W100" s="16"/>
      <c r="X100" s="16"/>
      <c r="Y100" s="16"/>
      <c r="Z100" s="16">
        <f t="shared" si="13"/>
        <v>0</v>
      </c>
      <c r="AA100" s="16"/>
      <c r="AB100" s="16">
        <f t="shared" si="14"/>
        <v>0</v>
      </c>
      <c r="AC100" s="16"/>
      <c r="AD100" s="16">
        <f t="shared" si="15"/>
        <v>0</v>
      </c>
      <c r="AE100" s="16"/>
      <c r="AF100" s="16">
        <f t="shared" si="16"/>
        <v>0</v>
      </c>
      <c r="AG100" s="16"/>
      <c r="AH100" s="16">
        <f t="shared" si="17"/>
        <v>0</v>
      </c>
      <c r="AI100" s="16"/>
      <c r="AJ100" s="16">
        <f t="shared" si="18"/>
        <v>0</v>
      </c>
      <c r="AK100" s="16"/>
      <c r="AL100" s="16">
        <f t="shared" si="19"/>
        <v>0</v>
      </c>
      <c r="AM100" s="16"/>
      <c r="AN100" s="16">
        <f t="shared" si="2"/>
        <v>0</v>
      </c>
      <c r="AO100" s="16"/>
      <c r="AP100" s="16">
        <f t="shared" si="20"/>
        <v>0</v>
      </c>
      <c r="AQ100" s="16"/>
      <c r="AR100" s="16">
        <f t="shared" si="21"/>
        <v>0</v>
      </c>
      <c r="AS100" s="16"/>
      <c r="AT100" s="16">
        <f t="shared" si="22"/>
        <v>0</v>
      </c>
      <c r="AU100" s="16">
        <v>132</v>
      </c>
      <c r="AV100" s="16">
        <f t="shared" si="23"/>
        <v>853480.3200000001</v>
      </c>
      <c r="AW100" s="16">
        <v>132</v>
      </c>
      <c r="AX100" s="16">
        <f t="shared" si="3"/>
        <v>837161.16</v>
      </c>
      <c r="AY100" s="16"/>
      <c r="AZ100" s="16">
        <f t="shared" si="24"/>
        <v>0</v>
      </c>
      <c r="BA100" s="16"/>
      <c r="BB100" s="16">
        <f t="shared" si="25"/>
        <v>0</v>
      </c>
      <c r="BC100" s="11">
        <f t="shared" si="26"/>
        <v>5288961.48</v>
      </c>
      <c r="BD100" s="17"/>
      <c r="BE100" s="17"/>
      <c r="BF100" s="17">
        <v>63</v>
      </c>
      <c r="BG100" s="16">
        <f t="shared" si="5"/>
        <v>1449000</v>
      </c>
      <c r="BH100" s="17">
        <v>264</v>
      </c>
      <c r="BI100" s="16">
        <f>+BH100*6885.76</f>
        <v>1817840.6400000001</v>
      </c>
    </row>
    <row r="101" spans="1:61" ht="12.75">
      <c r="A101" s="38">
        <v>35958</v>
      </c>
      <c r="B101" s="39" t="s">
        <v>100</v>
      </c>
      <c r="C101" s="40" t="s">
        <v>483</v>
      </c>
      <c r="D101" s="40" t="s">
        <v>821</v>
      </c>
      <c r="E101" s="17"/>
      <c r="F101" s="16">
        <f t="shared" si="0"/>
        <v>0</v>
      </c>
      <c r="G101" s="17"/>
      <c r="H101" s="16">
        <f t="shared" si="1"/>
        <v>0</v>
      </c>
      <c r="I101" s="16"/>
      <c r="J101" s="16">
        <f t="shared" si="6"/>
        <v>0</v>
      </c>
      <c r="K101" s="16"/>
      <c r="L101" s="16">
        <f t="shared" si="7"/>
        <v>0</v>
      </c>
      <c r="M101" s="16"/>
      <c r="N101" s="16">
        <f t="shared" si="8"/>
        <v>0</v>
      </c>
      <c r="O101" s="16"/>
      <c r="P101" s="16">
        <f t="shared" si="9"/>
        <v>0</v>
      </c>
      <c r="Q101" s="16">
        <v>248</v>
      </c>
      <c r="R101" s="16">
        <f t="shared" si="10"/>
        <v>6760480</v>
      </c>
      <c r="S101" s="16"/>
      <c r="T101" s="16">
        <f t="shared" si="11"/>
        <v>0</v>
      </c>
      <c r="U101" s="16"/>
      <c r="V101" s="16">
        <f t="shared" si="12"/>
        <v>0</v>
      </c>
      <c r="W101" s="16"/>
      <c r="X101" s="16"/>
      <c r="Y101" s="16"/>
      <c r="Z101" s="16">
        <f t="shared" si="13"/>
        <v>0</v>
      </c>
      <c r="AA101" s="16"/>
      <c r="AB101" s="16">
        <f t="shared" si="14"/>
        <v>0</v>
      </c>
      <c r="AC101" s="16"/>
      <c r="AD101" s="16">
        <f t="shared" si="15"/>
        <v>0</v>
      </c>
      <c r="AE101" s="16"/>
      <c r="AF101" s="16">
        <f t="shared" si="16"/>
        <v>0</v>
      </c>
      <c r="AG101" s="16"/>
      <c r="AH101" s="16">
        <f t="shared" si="17"/>
        <v>0</v>
      </c>
      <c r="AI101" s="16"/>
      <c r="AJ101" s="16">
        <f t="shared" si="18"/>
        <v>0</v>
      </c>
      <c r="AK101" s="16"/>
      <c r="AL101" s="16">
        <f t="shared" si="19"/>
        <v>0</v>
      </c>
      <c r="AM101" s="16"/>
      <c r="AN101" s="16">
        <f t="shared" si="2"/>
        <v>0</v>
      </c>
      <c r="AO101" s="16"/>
      <c r="AP101" s="16">
        <f t="shared" si="20"/>
        <v>0</v>
      </c>
      <c r="AQ101" s="16"/>
      <c r="AR101" s="16">
        <f t="shared" si="21"/>
        <v>0</v>
      </c>
      <c r="AS101" s="16"/>
      <c r="AT101" s="16">
        <f t="shared" si="22"/>
        <v>0</v>
      </c>
      <c r="AU101" s="16">
        <v>248</v>
      </c>
      <c r="AV101" s="16">
        <f t="shared" si="23"/>
        <v>1603508.48</v>
      </c>
      <c r="AW101" s="16">
        <v>248</v>
      </c>
      <c r="AX101" s="16">
        <f t="shared" si="3"/>
        <v>1572848.24</v>
      </c>
      <c r="AY101" s="16"/>
      <c r="AZ101" s="16">
        <f t="shared" si="24"/>
        <v>0</v>
      </c>
      <c r="BA101" s="16"/>
      <c r="BB101" s="16">
        <f t="shared" si="25"/>
        <v>0</v>
      </c>
      <c r="BC101" s="11">
        <f t="shared" si="26"/>
        <v>9936836.72</v>
      </c>
      <c r="BD101" s="17"/>
      <c r="BE101" s="17"/>
      <c r="BF101" s="17">
        <v>62</v>
      </c>
      <c r="BG101" s="16">
        <f t="shared" si="5"/>
        <v>1426000</v>
      </c>
      <c r="BH101" s="17">
        <v>248</v>
      </c>
      <c r="BI101" s="16">
        <f>+BH101*6885.76</f>
        <v>1707668.48</v>
      </c>
    </row>
    <row r="102" spans="1:61" ht="12.75">
      <c r="A102" s="38">
        <v>35947</v>
      </c>
      <c r="B102" s="39" t="s">
        <v>49</v>
      </c>
      <c r="C102" s="40" t="s">
        <v>54</v>
      </c>
      <c r="D102" s="40" t="s">
        <v>879</v>
      </c>
      <c r="E102" s="17">
        <v>100</v>
      </c>
      <c r="F102" s="16">
        <f t="shared" si="0"/>
        <v>34800</v>
      </c>
      <c r="G102" s="17">
        <v>100</v>
      </c>
      <c r="H102" s="16">
        <f t="shared" si="1"/>
        <v>29580</v>
      </c>
      <c r="I102" s="16"/>
      <c r="J102" s="16">
        <f t="shared" si="6"/>
        <v>0</v>
      </c>
      <c r="K102" s="16"/>
      <c r="L102" s="16">
        <f t="shared" si="7"/>
        <v>0</v>
      </c>
      <c r="M102" s="16"/>
      <c r="N102" s="16">
        <f t="shared" si="8"/>
        <v>0</v>
      </c>
      <c r="O102" s="16"/>
      <c r="P102" s="16">
        <f t="shared" si="9"/>
        <v>0</v>
      </c>
      <c r="Q102" s="16">
        <v>100</v>
      </c>
      <c r="R102" s="16">
        <f t="shared" si="10"/>
        <v>2726000</v>
      </c>
      <c r="S102" s="16">
        <v>100</v>
      </c>
      <c r="T102" s="16">
        <f t="shared" si="11"/>
        <v>188500</v>
      </c>
      <c r="U102" s="16">
        <v>100</v>
      </c>
      <c r="V102" s="16">
        <f t="shared" si="12"/>
        <v>58064</v>
      </c>
      <c r="W102" s="16"/>
      <c r="X102" s="16"/>
      <c r="Y102" s="16"/>
      <c r="Z102" s="16">
        <f t="shared" si="13"/>
        <v>0</v>
      </c>
      <c r="AA102" s="16"/>
      <c r="AB102" s="16">
        <f t="shared" si="14"/>
        <v>0</v>
      </c>
      <c r="AC102" s="16">
        <v>100</v>
      </c>
      <c r="AD102" s="16">
        <f t="shared" si="15"/>
        <v>62640</v>
      </c>
      <c r="AE102" s="16">
        <v>100</v>
      </c>
      <c r="AF102" s="16">
        <f t="shared" si="16"/>
        <v>204044</v>
      </c>
      <c r="AG102" s="16"/>
      <c r="AH102" s="16">
        <f t="shared" si="17"/>
        <v>0</v>
      </c>
      <c r="AI102" s="16"/>
      <c r="AJ102" s="16">
        <f t="shared" si="18"/>
        <v>0</v>
      </c>
      <c r="AK102" s="16">
        <v>100</v>
      </c>
      <c r="AL102" s="16">
        <f t="shared" si="19"/>
        <v>6380</v>
      </c>
      <c r="AM102" s="16"/>
      <c r="AN102" s="16">
        <f t="shared" si="2"/>
        <v>0</v>
      </c>
      <c r="AO102" s="16">
        <v>100</v>
      </c>
      <c r="AP102" s="16">
        <f t="shared" si="20"/>
        <v>27260.000000000004</v>
      </c>
      <c r="AQ102" s="16">
        <v>100</v>
      </c>
      <c r="AR102" s="16">
        <f t="shared" si="21"/>
        <v>32480</v>
      </c>
      <c r="AS102" s="16">
        <v>100</v>
      </c>
      <c r="AT102" s="16">
        <f t="shared" si="22"/>
        <v>32380</v>
      </c>
      <c r="AU102" s="16">
        <v>100</v>
      </c>
      <c r="AV102" s="16">
        <f t="shared" si="23"/>
        <v>646576</v>
      </c>
      <c r="AW102" s="16">
        <v>100</v>
      </c>
      <c r="AX102" s="16">
        <f t="shared" si="3"/>
        <v>634213</v>
      </c>
      <c r="AY102" s="16"/>
      <c r="AZ102" s="16">
        <f t="shared" si="24"/>
        <v>0</v>
      </c>
      <c r="BA102" s="16">
        <v>100</v>
      </c>
      <c r="BB102" s="16">
        <f t="shared" si="25"/>
        <v>714147</v>
      </c>
      <c r="BC102" s="11">
        <f t="shared" si="26"/>
        <v>5397064</v>
      </c>
      <c r="BD102" s="17"/>
      <c r="BE102" s="17"/>
      <c r="BF102" s="17"/>
      <c r="BG102" s="16">
        <f t="shared" si="5"/>
        <v>0</v>
      </c>
      <c r="BH102" s="17">
        <v>320</v>
      </c>
      <c r="BI102" s="16">
        <f>+BH102*6885.76</f>
        <v>2203443.2</v>
      </c>
    </row>
    <row r="103" spans="1:61" ht="12.75">
      <c r="A103" s="38">
        <v>35971</v>
      </c>
      <c r="B103" s="39" t="s">
        <v>488</v>
      </c>
      <c r="C103" s="40" t="s">
        <v>875</v>
      </c>
      <c r="D103" s="40" t="s">
        <v>821</v>
      </c>
      <c r="E103" s="17">
        <v>1000</v>
      </c>
      <c r="F103" s="16">
        <f t="shared" si="0"/>
        <v>348000</v>
      </c>
      <c r="G103" s="17">
        <v>1000</v>
      </c>
      <c r="H103" s="16">
        <f t="shared" si="1"/>
        <v>295800</v>
      </c>
      <c r="I103" s="16"/>
      <c r="J103" s="16">
        <f t="shared" si="6"/>
        <v>0</v>
      </c>
      <c r="K103" s="16"/>
      <c r="L103" s="16">
        <f t="shared" si="7"/>
        <v>0</v>
      </c>
      <c r="M103" s="16"/>
      <c r="N103" s="16">
        <f t="shared" si="8"/>
        <v>0</v>
      </c>
      <c r="O103" s="16"/>
      <c r="P103" s="16">
        <f t="shared" si="9"/>
        <v>0</v>
      </c>
      <c r="Q103" s="16">
        <v>200</v>
      </c>
      <c r="R103" s="16">
        <f t="shared" si="10"/>
        <v>5452000</v>
      </c>
      <c r="S103" s="16">
        <v>1000</v>
      </c>
      <c r="T103" s="16">
        <f t="shared" si="11"/>
        <v>1885000</v>
      </c>
      <c r="U103" s="16">
        <v>1000</v>
      </c>
      <c r="V103" s="16">
        <f t="shared" si="12"/>
        <v>580640</v>
      </c>
      <c r="W103" s="16"/>
      <c r="X103" s="16"/>
      <c r="Y103" s="16"/>
      <c r="Z103" s="16">
        <f t="shared" si="13"/>
        <v>0</v>
      </c>
      <c r="AA103" s="16">
        <v>1000</v>
      </c>
      <c r="AB103" s="16">
        <f t="shared" si="14"/>
        <v>14500000</v>
      </c>
      <c r="AC103" s="16">
        <v>1000</v>
      </c>
      <c r="AD103" s="16">
        <f t="shared" si="15"/>
        <v>626400</v>
      </c>
      <c r="AE103" s="16">
        <v>1000</v>
      </c>
      <c r="AF103" s="16">
        <f t="shared" si="16"/>
        <v>2040440</v>
      </c>
      <c r="AG103" s="16"/>
      <c r="AH103" s="16">
        <f t="shared" si="17"/>
        <v>0</v>
      </c>
      <c r="AI103" s="16"/>
      <c r="AJ103" s="16">
        <f t="shared" si="18"/>
        <v>0</v>
      </c>
      <c r="AK103" s="16">
        <v>1000</v>
      </c>
      <c r="AL103" s="16">
        <f t="shared" si="19"/>
        <v>63800</v>
      </c>
      <c r="AM103" s="16"/>
      <c r="AN103" s="16">
        <f t="shared" si="2"/>
        <v>0</v>
      </c>
      <c r="AO103" s="16">
        <v>1000</v>
      </c>
      <c r="AP103" s="16">
        <f t="shared" si="20"/>
        <v>272600</v>
      </c>
      <c r="AQ103" s="16">
        <v>1000</v>
      </c>
      <c r="AR103" s="16">
        <f t="shared" si="21"/>
        <v>324800</v>
      </c>
      <c r="AS103" s="16">
        <v>1000</v>
      </c>
      <c r="AT103" s="16">
        <f t="shared" si="22"/>
        <v>323800</v>
      </c>
      <c r="AU103" s="16">
        <v>1000</v>
      </c>
      <c r="AV103" s="16">
        <f t="shared" si="23"/>
        <v>6465760</v>
      </c>
      <c r="AW103" s="16">
        <v>1000</v>
      </c>
      <c r="AX103" s="16">
        <f t="shared" si="3"/>
        <v>6342130</v>
      </c>
      <c r="AY103" s="16">
        <v>1000</v>
      </c>
      <c r="AZ103" s="16">
        <f t="shared" si="24"/>
        <v>3229530</v>
      </c>
      <c r="BA103" s="16">
        <v>1000</v>
      </c>
      <c r="BB103" s="16">
        <f t="shared" si="25"/>
        <v>7141470</v>
      </c>
      <c r="BC103" s="11">
        <f t="shared" si="26"/>
        <v>49892170</v>
      </c>
      <c r="BD103" s="17"/>
      <c r="BE103" s="17"/>
      <c r="BF103" s="17">
        <v>600</v>
      </c>
      <c r="BG103" s="16">
        <f t="shared" si="5"/>
        <v>13800000</v>
      </c>
      <c r="BH103" s="17"/>
      <c r="BI103" s="17"/>
    </row>
    <row r="104" spans="1:61" ht="12.75">
      <c r="A104" s="38">
        <v>35979</v>
      </c>
      <c r="B104" s="39" t="s">
        <v>820</v>
      </c>
      <c r="C104" s="40" t="s">
        <v>490</v>
      </c>
      <c r="D104" s="40" t="s">
        <v>821</v>
      </c>
      <c r="E104" s="17"/>
      <c r="F104" s="16">
        <f t="shared" si="0"/>
        <v>0</v>
      </c>
      <c r="G104" s="17"/>
      <c r="H104" s="16">
        <f t="shared" si="1"/>
        <v>0</v>
      </c>
      <c r="I104" s="16"/>
      <c r="J104" s="16">
        <f t="shared" si="6"/>
        <v>0</v>
      </c>
      <c r="K104" s="16"/>
      <c r="L104" s="16">
        <f t="shared" si="7"/>
        <v>0</v>
      </c>
      <c r="M104" s="16"/>
      <c r="N104" s="16">
        <f t="shared" si="8"/>
        <v>0</v>
      </c>
      <c r="O104" s="16"/>
      <c r="P104" s="16">
        <f t="shared" si="9"/>
        <v>0</v>
      </c>
      <c r="Q104" s="16">
        <v>70</v>
      </c>
      <c r="R104" s="16">
        <f t="shared" si="10"/>
        <v>1908200</v>
      </c>
      <c r="S104" s="16"/>
      <c r="T104" s="16">
        <f t="shared" si="11"/>
        <v>0</v>
      </c>
      <c r="U104" s="16"/>
      <c r="V104" s="16">
        <f t="shared" si="12"/>
        <v>0</v>
      </c>
      <c r="W104" s="16"/>
      <c r="X104" s="16"/>
      <c r="Y104" s="16"/>
      <c r="Z104" s="16">
        <f t="shared" si="13"/>
        <v>0</v>
      </c>
      <c r="AA104" s="16"/>
      <c r="AB104" s="16">
        <f t="shared" si="14"/>
        <v>0</v>
      </c>
      <c r="AC104" s="16"/>
      <c r="AD104" s="16">
        <f t="shared" si="15"/>
        <v>0</v>
      </c>
      <c r="AE104" s="16"/>
      <c r="AF104" s="16">
        <f t="shared" si="16"/>
        <v>0</v>
      </c>
      <c r="AG104" s="16"/>
      <c r="AH104" s="16">
        <f t="shared" si="17"/>
        <v>0</v>
      </c>
      <c r="AI104" s="16"/>
      <c r="AJ104" s="16">
        <f t="shared" si="18"/>
        <v>0</v>
      </c>
      <c r="AK104" s="16"/>
      <c r="AL104" s="16">
        <f t="shared" si="19"/>
        <v>0</v>
      </c>
      <c r="AM104" s="16"/>
      <c r="AN104" s="16">
        <f t="shared" si="2"/>
        <v>0</v>
      </c>
      <c r="AO104" s="16"/>
      <c r="AP104" s="16">
        <f t="shared" si="20"/>
        <v>0</v>
      </c>
      <c r="AQ104" s="16"/>
      <c r="AR104" s="16">
        <f t="shared" si="21"/>
        <v>0</v>
      </c>
      <c r="AS104" s="16"/>
      <c r="AT104" s="16">
        <f t="shared" si="22"/>
        <v>0</v>
      </c>
      <c r="AU104" s="16"/>
      <c r="AV104" s="16">
        <f t="shared" si="23"/>
        <v>0</v>
      </c>
      <c r="AW104" s="16">
        <v>70</v>
      </c>
      <c r="AX104" s="16">
        <f t="shared" si="3"/>
        <v>443949.10000000003</v>
      </c>
      <c r="AY104" s="16"/>
      <c r="AZ104" s="16">
        <f t="shared" si="24"/>
        <v>0</v>
      </c>
      <c r="BA104" s="16"/>
      <c r="BB104" s="16">
        <f t="shared" si="25"/>
        <v>0</v>
      </c>
      <c r="BC104" s="11">
        <f t="shared" si="26"/>
        <v>2352149.1</v>
      </c>
      <c r="BD104" s="17"/>
      <c r="BE104" s="17"/>
      <c r="BF104" s="17"/>
      <c r="BG104" s="16">
        <f t="shared" si="5"/>
        <v>0</v>
      </c>
      <c r="BH104" s="17"/>
      <c r="BI104" s="17"/>
    </row>
    <row r="105" spans="1:61" ht="22.5">
      <c r="A105" s="38">
        <v>35985</v>
      </c>
      <c r="B105" s="39" t="s">
        <v>59</v>
      </c>
      <c r="C105" s="40" t="s">
        <v>503</v>
      </c>
      <c r="D105" s="40" t="s">
        <v>821</v>
      </c>
      <c r="E105" s="17">
        <v>260</v>
      </c>
      <c r="F105" s="16">
        <f t="shared" si="0"/>
        <v>90480</v>
      </c>
      <c r="G105" s="17">
        <v>130</v>
      </c>
      <c r="H105" s="16">
        <f t="shared" si="1"/>
        <v>38454</v>
      </c>
      <c r="I105" s="16">
        <v>130</v>
      </c>
      <c r="J105" s="16">
        <f t="shared" si="6"/>
        <v>542880</v>
      </c>
      <c r="K105" s="16"/>
      <c r="L105" s="16">
        <f t="shared" si="7"/>
        <v>0</v>
      </c>
      <c r="M105" s="16"/>
      <c r="N105" s="16">
        <f t="shared" si="8"/>
        <v>0</v>
      </c>
      <c r="O105" s="16"/>
      <c r="P105" s="16">
        <f t="shared" si="9"/>
        <v>0</v>
      </c>
      <c r="Q105" s="16"/>
      <c r="R105" s="16">
        <f t="shared" si="10"/>
        <v>0</v>
      </c>
      <c r="S105" s="16">
        <v>130</v>
      </c>
      <c r="T105" s="16">
        <f t="shared" si="11"/>
        <v>245050</v>
      </c>
      <c r="U105" s="16">
        <v>130</v>
      </c>
      <c r="V105" s="16">
        <f t="shared" si="12"/>
        <v>75483.2</v>
      </c>
      <c r="W105" s="16"/>
      <c r="X105" s="16"/>
      <c r="Y105" s="16">
        <v>130</v>
      </c>
      <c r="Z105" s="16">
        <f t="shared" si="13"/>
        <v>765310</v>
      </c>
      <c r="AA105" s="16"/>
      <c r="AB105" s="16">
        <f t="shared" si="14"/>
        <v>0</v>
      </c>
      <c r="AC105" s="16"/>
      <c r="AD105" s="16">
        <f t="shared" si="15"/>
        <v>0</v>
      </c>
      <c r="AE105" s="16"/>
      <c r="AF105" s="16">
        <f t="shared" si="16"/>
        <v>0</v>
      </c>
      <c r="AG105" s="16">
        <v>130</v>
      </c>
      <c r="AH105" s="16">
        <f t="shared" si="17"/>
        <v>862123.6</v>
      </c>
      <c r="AI105" s="16"/>
      <c r="AJ105" s="16">
        <f t="shared" si="18"/>
        <v>0</v>
      </c>
      <c r="AK105" s="16"/>
      <c r="AL105" s="16">
        <f t="shared" si="19"/>
        <v>0</v>
      </c>
      <c r="AM105" s="16"/>
      <c r="AN105" s="16">
        <f t="shared" si="2"/>
        <v>0</v>
      </c>
      <c r="AO105" s="16"/>
      <c r="AP105" s="16">
        <f t="shared" si="20"/>
        <v>0</v>
      </c>
      <c r="AQ105" s="16"/>
      <c r="AR105" s="16">
        <f t="shared" si="21"/>
        <v>0</v>
      </c>
      <c r="AS105" s="16">
        <v>390</v>
      </c>
      <c r="AT105" s="16">
        <f t="shared" si="22"/>
        <v>126282</v>
      </c>
      <c r="AU105" s="16"/>
      <c r="AV105" s="16">
        <f t="shared" si="23"/>
        <v>0</v>
      </c>
      <c r="AW105" s="16">
        <v>390</v>
      </c>
      <c r="AX105" s="16">
        <f t="shared" si="3"/>
        <v>2473430.7</v>
      </c>
      <c r="AY105" s="16">
        <v>390</v>
      </c>
      <c r="AZ105" s="16">
        <f t="shared" si="24"/>
        <v>1259516.7000000002</v>
      </c>
      <c r="BA105" s="16">
        <v>390</v>
      </c>
      <c r="BB105" s="16">
        <f t="shared" si="25"/>
        <v>2785173.3000000003</v>
      </c>
      <c r="BC105" s="11">
        <f t="shared" si="26"/>
        <v>9264183.5</v>
      </c>
      <c r="BD105" s="17">
        <v>3000</v>
      </c>
      <c r="BE105" s="17">
        <f>+BD105*440.8</f>
        <v>1322400</v>
      </c>
      <c r="BF105" s="17"/>
      <c r="BG105" s="16">
        <f t="shared" si="5"/>
        <v>0</v>
      </c>
      <c r="BH105" s="17"/>
      <c r="BI105" s="17"/>
    </row>
    <row r="106" spans="1:61" ht="12.75">
      <c r="A106" s="38">
        <v>35982</v>
      </c>
      <c r="B106" s="39" t="s">
        <v>829</v>
      </c>
      <c r="C106" s="40" t="s">
        <v>508</v>
      </c>
      <c r="D106" s="40" t="s">
        <v>107</v>
      </c>
      <c r="E106" s="17">
        <v>45</v>
      </c>
      <c r="F106" s="16">
        <f t="shared" si="0"/>
        <v>15660</v>
      </c>
      <c r="G106" s="17">
        <v>45</v>
      </c>
      <c r="H106" s="16">
        <f t="shared" si="1"/>
        <v>13311</v>
      </c>
      <c r="I106" s="16">
        <v>15</v>
      </c>
      <c r="J106" s="16">
        <f t="shared" si="6"/>
        <v>62640</v>
      </c>
      <c r="K106" s="16"/>
      <c r="L106" s="16">
        <f t="shared" si="7"/>
        <v>0</v>
      </c>
      <c r="M106" s="16">
        <v>45</v>
      </c>
      <c r="N106" s="16">
        <f t="shared" si="8"/>
        <v>111833.99999999999</v>
      </c>
      <c r="O106" s="16"/>
      <c r="P106" s="16">
        <f t="shared" si="9"/>
        <v>0</v>
      </c>
      <c r="Q106" s="16"/>
      <c r="R106" s="16">
        <f t="shared" si="10"/>
        <v>0</v>
      </c>
      <c r="S106" s="16">
        <v>15</v>
      </c>
      <c r="T106" s="16">
        <f t="shared" si="11"/>
        <v>28275</v>
      </c>
      <c r="U106" s="16"/>
      <c r="V106" s="16">
        <f t="shared" si="12"/>
        <v>0</v>
      </c>
      <c r="W106" s="16"/>
      <c r="X106" s="16"/>
      <c r="Y106" s="16">
        <v>15</v>
      </c>
      <c r="Z106" s="16">
        <f t="shared" si="13"/>
        <v>88305</v>
      </c>
      <c r="AA106" s="16"/>
      <c r="AB106" s="16">
        <f t="shared" si="14"/>
        <v>0</v>
      </c>
      <c r="AC106" s="16"/>
      <c r="AD106" s="16">
        <f t="shared" si="15"/>
        <v>0</v>
      </c>
      <c r="AE106" s="16"/>
      <c r="AF106" s="16">
        <f t="shared" si="16"/>
        <v>0</v>
      </c>
      <c r="AG106" s="16">
        <v>15</v>
      </c>
      <c r="AH106" s="16">
        <f t="shared" si="17"/>
        <v>99475.8</v>
      </c>
      <c r="AI106" s="16"/>
      <c r="AJ106" s="16">
        <f t="shared" si="18"/>
        <v>0</v>
      </c>
      <c r="AK106" s="16"/>
      <c r="AL106" s="16">
        <f t="shared" si="19"/>
        <v>0</v>
      </c>
      <c r="AM106" s="16"/>
      <c r="AN106" s="16">
        <f t="shared" si="2"/>
        <v>0</v>
      </c>
      <c r="AO106" s="16">
        <v>45</v>
      </c>
      <c r="AP106" s="16">
        <f t="shared" si="20"/>
        <v>12267.000000000002</v>
      </c>
      <c r="AQ106" s="16"/>
      <c r="AR106" s="16">
        <f t="shared" si="21"/>
        <v>0</v>
      </c>
      <c r="AS106" s="16">
        <v>45</v>
      </c>
      <c r="AT106" s="16">
        <f t="shared" si="22"/>
        <v>14571</v>
      </c>
      <c r="AU106" s="16"/>
      <c r="AV106" s="16">
        <f t="shared" si="23"/>
        <v>0</v>
      </c>
      <c r="AW106" s="16"/>
      <c r="AX106" s="16">
        <f t="shared" si="3"/>
        <v>0</v>
      </c>
      <c r="AY106" s="16">
        <v>45</v>
      </c>
      <c r="AZ106" s="16">
        <f t="shared" si="24"/>
        <v>145328.85</v>
      </c>
      <c r="BA106" s="16"/>
      <c r="BB106" s="16">
        <f t="shared" si="25"/>
        <v>0</v>
      </c>
      <c r="BC106" s="11">
        <f t="shared" si="26"/>
        <v>591667.65</v>
      </c>
      <c r="BD106" s="17"/>
      <c r="BE106" s="17"/>
      <c r="BF106" s="17">
        <v>15</v>
      </c>
      <c r="BG106" s="16">
        <f t="shared" si="5"/>
        <v>345000</v>
      </c>
      <c r="BH106" s="17"/>
      <c r="BI106" s="17"/>
    </row>
    <row r="107" spans="1:61" ht="12.75">
      <c r="A107" s="38">
        <v>35977</v>
      </c>
      <c r="B107" s="39" t="s">
        <v>126</v>
      </c>
      <c r="C107" s="40" t="s">
        <v>875</v>
      </c>
      <c r="D107" s="40" t="s">
        <v>821</v>
      </c>
      <c r="E107" s="17">
        <v>1662</v>
      </c>
      <c r="F107" s="16">
        <f t="shared" si="0"/>
        <v>578376</v>
      </c>
      <c r="G107" s="17">
        <v>1662</v>
      </c>
      <c r="H107" s="16">
        <f t="shared" si="1"/>
        <v>491619.60000000003</v>
      </c>
      <c r="I107" s="16">
        <v>831</v>
      </c>
      <c r="J107" s="16">
        <f t="shared" si="6"/>
        <v>3470256</v>
      </c>
      <c r="K107" s="16"/>
      <c r="L107" s="16">
        <f t="shared" si="7"/>
        <v>0</v>
      </c>
      <c r="M107" s="16">
        <v>1662</v>
      </c>
      <c r="N107" s="16">
        <f t="shared" si="8"/>
        <v>4130402.4</v>
      </c>
      <c r="O107" s="16"/>
      <c r="P107" s="16">
        <f t="shared" si="9"/>
        <v>0</v>
      </c>
      <c r="Q107" s="16"/>
      <c r="R107" s="16">
        <f t="shared" si="10"/>
        <v>0</v>
      </c>
      <c r="S107" s="16">
        <v>831</v>
      </c>
      <c r="T107" s="16">
        <f t="shared" si="11"/>
        <v>1566435</v>
      </c>
      <c r="U107" s="16"/>
      <c r="V107" s="16">
        <f t="shared" si="12"/>
        <v>0</v>
      </c>
      <c r="W107" s="16"/>
      <c r="X107" s="16"/>
      <c r="Y107" s="16">
        <v>831</v>
      </c>
      <c r="Z107" s="16">
        <f t="shared" si="13"/>
        <v>4892097</v>
      </c>
      <c r="AA107" s="16"/>
      <c r="AB107" s="16">
        <f t="shared" si="14"/>
        <v>0</v>
      </c>
      <c r="AC107" s="16">
        <v>1662</v>
      </c>
      <c r="AD107" s="16">
        <f t="shared" si="15"/>
        <v>1041076.7999999999</v>
      </c>
      <c r="AE107" s="16"/>
      <c r="AF107" s="16">
        <f t="shared" si="16"/>
        <v>0</v>
      </c>
      <c r="AG107" s="16">
        <v>831</v>
      </c>
      <c r="AH107" s="16">
        <f t="shared" si="17"/>
        <v>5510959.32</v>
      </c>
      <c r="AI107" s="16">
        <v>1662</v>
      </c>
      <c r="AJ107" s="16">
        <f t="shared" si="18"/>
        <v>771168</v>
      </c>
      <c r="AK107" s="16">
        <v>831</v>
      </c>
      <c r="AL107" s="16">
        <f t="shared" si="19"/>
        <v>53017.799999999996</v>
      </c>
      <c r="AM107" s="16"/>
      <c r="AN107" s="16">
        <f t="shared" si="2"/>
        <v>0</v>
      </c>
      <c r="AO107" s="16">
        <v>831</v>
      </c>
      <c r="AP107" s="16">
        <f t="shared" si="20"/>
        <v>226530.6</v>
      </c>
      <c r="AQ107" s="16"/>
      <c r="AR107" s="16">
        <f t="shared" si="21"/>
        <v>0</v>
      </c>
      <c r="AS107" s="16">
        <v>1662</v>
      </c>
      <c r="AT107" s="16">
        <f t="shared" si="22"/>
        <v>538155.6</v>
      </c>
      <c r="AU107" s="16">
        <v>1662</v>
      </c>
      <c r="AV107" s="16">
        <f t="shared" si="23"/>
        <v>10746093.120000001</v>
      </c>
      <c r="AW107" s="16"/>
      <c r="AX107" s="16">
        <f t="shared" si="3"/>
        <v>0</v>
      </c>
      <c r="AY107" s="16">
        <v>1662</v>
      </c>
      <c r="AZ107" s="16">
        <f t="shared" si="24"/>
        <v>5367478.86</v>
      </c>
      <c r="BA107" s="16"/>
      <c r="BB107" s="16">
        <f t="shared" si="25"/>
        <v>0</v>
      </c>
      <c r="BC107" s="11">
        <f t="shared" si="26"/>
        <v>39383666.10000001</v>
      </c>
      <c r="BD107" s="17"/>
      <c r="BE107" s="17"/>
      <c r="BF107" s="17"/>
      <c r="BG107" s="16">
        <f t="shared" si="5"/>
        <v>0</v>
      </c>
      <c r="BH107" s="17"/>
      <c r="BI107" s="17"/>
    </row>
    <row r="108" spans="1:61" ht="12.75">
      <c r="A108" s="38">
        <v>35977</v>
      </c>
      <c r="B108" s="39" t="s">
        <v>877</v>
      </c>
      <c r="C108" s="40" t="s">
        <v>875</v>
      </c>
      <c r="D108" s="40" t="s">
        <v>821</v>
      </c>
      <c r="E108" s="17"/>
      <c r="F108" s="16">
        <f t="shared" si="0"/>
        <v>0</v>
      </c>
      <c r="G108" s="17"/>
      <c r="H108" s="16">
        <f t="shared" si="1"/>
        <v>0</v>
      </c>
      <c r="I108" s="16"/>
      <c r="J108" s="16">
        <f t="shared" si="6"/>
        <v>0</v>
      </c>
      <c r="K108" s="16"/>
      <c r="L108" s="16">
        <f t="shared" si="7"/>
        <v>0</v>
      </c>
      <c r="M108" s="16"/>
      <c r="N108" s="16">
        <f t="shared" si="8"/>
        <v>0</v>
      </c>
      <c r="O108" s="16"/>
      <c r="P108" s="16">
        <f t="shared" si="9"/>
        <v>0</v>
      </c>
      <c r="Q108" s="16"/>
      <c r="R108" s="16">
        <f t="shared" si="10"/>
        <v>0</v>
      </c>
      <c r="S108" s="16"/>
      <c r="T108" s="16">
        <f t="shared" si="11"/>
        <v>0</v>
      </c>
      <c r="U108" s="16"/>
      <c r="V108" s="16">
        <f t="shared" si="12"/>
        <v>0</v>
      </c>
      <c r="W108" s="16"/>
      <c r="X108" s="16"/>
      <c r="Y108" s="16"/>
      <c r="Z108" s="16">
        <f t="shared" si="13"/>
        <v>0</v>
      </c>
      <c r="AA108" s="16"/>
      <c r="AB108" s="16">
        <f t="shared" si="14"/>
        <v>0</v>
      </c>
      <c r="AC108" s="16"/>
      <c r="AD108" s="16">
        <f t="shared" si="15"/>
        <v>0</v>
      </c>
      <c r="AE108" s="16"/>
      <c r="AF108" s="16">
        <f t="shared" si="16"/>
        <v>0</v>
      </c>
      <c r="AG108" s="16"/>
      <c r="AH108" s="16">
        <f t="shared" si="17"/>
        <v>0</v>
      </c>
      <c r="AI108" s="16"/>
      <c r="AJ108" s="16">
        <f t="shared" si="18"/>
        <v>0</v>
      </c>
      <c r="AK108" s="16"/>
      <c r="AL108" s="16">
        <f t="shared" si="19"/>
        <v>0</v>
      </c>
      <c r="AM108" s="16"/>
      <c r="AN108" s="16">
        <f t="shared" si="2"/>
        <v>0</v>
      </c>
      <c r="AO108" s="16"/>
      <c r="AP108" s="16">
        <f t="shared" si="20"/>
        <v>0</v>
      </c>
      <c r="AQ108" s="16"/>
      <c r="AR108" s="16">
        <f t="shared" si="21"/>
        <v>0</v>
      </c>
      <c r="AS108" s="16"/>
      <c r="AT108" s="16">
        <f t="shared" si="22"/>
        <v>0</v>
      </c>
      <c r="AU108" s="16"/>
      <c r="AV108" s="16">
        <f t="shared" si="23"/>
        <v>0</v>
      </c>
      <c r="AW108" s="16"/>
      <c r="AX108" s="16">
        <f t="shared" si="3"/>
        <v>0</v>
      </c>
      <c r="AY108" s="16"/>
      <c r="AZ108" s="16">
        <f t="shared" si="24"/>
        <v>0</v>
      </c>
      <c r="BA108" s="16"/>
      <c r="BB108" s="16">
        <f t="shared" si="25"/>
        <v>0</v>
      </c>
      <c r="BC108" s="11">
        <f t="shared" si="26"/>
        <v>0</v>
      </c>
      <c r="BD108" s="17">
        <v>41300</v>
      </c>
      <c r="BE108" s="17">
        <f>+BD108*440.8</f>
        <v>18205040</v>
      </c>
      <c r="BF108" s="17"/>
      <c r="BG108" s="16">
        <f t="shared" si="5"/>
        <v>0</v>
      </c>
      <c r="BH108" s="17"/>
      <c r="BI108" s="17"/>
    </row>
    <row r="109" spans="1:61" ht="12.75">
      <c r="A109" s="38">
        <v>35977</v>
      </c>
      <c r="B109" s="39" t="s">
        <v>877</v>
      </c>
      <c r="C109" s="40" t="s">
        <v>68</v>
      </c>
      <c r="D109" s="40" t="s">
        <v>821</v>
      </c>
      <c r="E109" s="17"/>
      <c r="F109" s="16">
        <f t="shared" si="0"/>
        <v>0</v>
      </c>
      <c r="G109" s="17"/>
      <c r="H109" s="16">
        <f t="shared" si="1"/>
        <v>0</v>
      </c>
      <c r="I109" s="16"/>
      <c r="J109" s="16">
        <f t="shared" si="6"/>
        <v>0</v>
      </c>
      <c r="K109" s="16"/>
      <c r="L109" s="16">
        <f t="shared" si="7"/>
        <v>0</v>
      </c>
      <c r="M109" s="16"/>
      <c r="N109" s="16">
        <f t="shared" si="8"/>
        <v>0</v>
      </c>
      <c r="O109" s="16"/>
      <c r="P109" s="16">
        <f t="shared" si="9"/>
        <v>0</v>
      </c>
      <c r="Q109" s="16">
        <v>500</v>
      </c>
      <c r="R109" s="16">
        <f t="shared" si="10"/>
        <v>13630000</v>
      </c>
      <c r="S109" s="16"/>
      <c r="T109" s="16">
        <f t="shared" si="11"/>
        <v>0</v>
      </c>
      <c r="U109" s="16"/>
      <c r="V109" s="16">
        <f t="shared" si="12"/>
        <v>0</v>
      </c>
      <c r="W109" s="16"/>
      <c r="X109" s="16"/>
      <c r="Y109" s="16"/>
      <c r="Z109" s="16">
        <f t="shared" si="13"/>
        <v>0</v>
      </c>
      <c r="AA109" s="16"/>
      <c r="AB109" s="16">
        <f t="shared" si="14"/>
        <v>0</v>
      </c>
      <c r="AC109" s="16"/>
      <c r="AD109" s="16">
        <f t="shared" si="15"/>
        <v>0</v>
      </c>
      <c r="AE109" s="16"/>
      <c r="AF109" s="16">
        <f t="shared" si="16"/>
        <v>0</v>
      </c>
      <c r="AG109" s="16"/>
      <c r="AH109" s="16">
        <f t="shared" si="17"/>
        <v>0</v>
      </c>
      <c r="AI109" s="16"/>
      <c r="AJ109" s="16">
        <f t="shared" si="18"/>
        <v>0</v>
      </c>
      <c r="AK109" s="16"/>
      <c r="AL109" s="16">
        <f t="shared" si="19"/>
        <v>0</v>
      </c>
      <c r="AM109" s="16"/>
      <c r="AN109" s="16">
        <f t="shared" si="2"/>
        <v>0</v>
      </c>
      <c r="AO109" s="16"/>
      <c r="AP109" s="16">
        <f t="shared" si="20"/>
        <v>0</v>
      </c>
      <c r="AQ109" s="16"/>
      <c r="AR109" s="16">
        <f t="shared" si="21"/>
        <v>0</v>
      </c>
      <c r="AS109" s="16"/>
      <c r="AT109" s="16">
        <f t="shared" si="22"/>
        <v>0</v>
      </c>
      <c r="AU109" s="16">
        <v>500</v>
      </c>
      <c r="AV109" s="16">
        <f t="shared" si="23"/>
        <v>3232880</v>
      </c>
      <c r="AW109" s="16"/>
      <c r="AX109" s="16">
        <f t="shared" si="3"/>
        <v>0</v>
      </c>
      <c r="AY109" s="16"/>
      <c r="AZ109" s="16">
        <f t="shared" si="24"/>
        <v>0</v>
      </c>
      <c r="BA109" s="16"/>
      <c r="BB109" s="16">
        <f t="shared" si="25"/>
        <v>0</v>
      </c>
      <c r="BC109" s="11">
        <f t="shared" si="26"/>
        <v>16862880</v>
      </c>
      <c r="BD109" s="17">
        <v>6000</v>
      </c>
      <c r="BE109" s="17">
        <f>+BD109*440.8</f>
        <v>2644800</v>
      </c>
      <c r="BF109" s="17">
        <v>112</v>
      </c>
      <c r="BG109" s="16">
        <f t="shared" si="5"/>
        <v>2576000</v>
      </c>
      <c r="BH109" s="17"/>
      <c r="BI109" s="17"/>
    </row>
    <row r="110" spans="1:61" ht="12.75">
      <c r="A110" s="38">
        <v>35989</v>
      </c>
      <c r="B110" s="39" t="s">
        <v>877</v>
      </c>
      <c r="C110" s="40" t="s">
        <v>520</v>
      </c>
      <c r="D110" s="40" t="s">
        <v>821</v>
      </c>
      <c r="E110" s="17"/>
      <c r="F110" s="16">
        <f t="shared" si="0"/>
        <v>0</v>
      </c>
      <c r="G110" s="17"/>
      <c r="H110" s="16">
        <f t="shared" si="1"/>
        <v>0</v>
      </c>
      <c r="I110" s="16"/>
      <c r="J110" s="16">
        <f t="shared" si="6"/>
        <v>0</v>
      </c>
      <c r="K110" s="16"/>
      <c r="L110" s="16">
        <f t="shared" si="7"/>
        <v>0</v>
      </c>
      <c r="M110" s="16"/>
      <c r="N110" s="16">
        <f t="shared" si="8"/>
        <v>0</v>
      </c>
      <c r="O110" s="16"/>
      <c r="P110" s="16">
        <f t="shared" si="9"/>
        <v>0</v>
      </c>
      <c r="Q110" s="16"/>
      <c r="R110" s="16">
        <f t="shared" si="10"/>
        <v>0</v>
      </c>
      <c r="S110" s="16"/>
      <c r="T110" s="16">
        <f t="shared" si="11"/>
        <v>0</v>
      </c>
      <c r="U110" s="16"/>
      <c r="V110" s="16">
        <f t="shared" si="12"/>
        <v>0</v>
      </c>
      <c r="W110" s="16"/>
      <c r="X110" s="16"/>
      <c r="Y110" s="16"/>
      <c r="Z110" s="16">
        <f t="shared" si="13"/>
        <v>0</v>
      </c>
      <c r="AA110" s="16"/>
      <c r="AB110" s="16">
        <f t="shared" si="14"/>
        <v>0</v>
      </c>
      <c r="AC110" s="16"/>
      <c r="AD110" s="16">
        <f t="shared" si="15"/>
        <v>0</v>
      </c>
      <c r="AE110" s="16"/>
      <c r="AF110" s="16">
        <f t="shared" si="16"/>
        <v>0</v>
      </c>
      <c r="AG110" s="16"/>
      <c r="AH110" s="16">
        <f t="shared" si="17"/>
        <v>0</v>
      </c>
      <c r="AI110" s="16"/>
      <c r="AJ110" s="16">
        <f t="shared" si="18"/>
        <v>0</v>
      </c>
      <c r="AK110" s="16"/>
      <c r="AL110" s="16">
        <f t="shared" si="19"/>
        <v>0</v>
      </c>
      <c r="AM110" s="16"/>
      <c r="AN110" s="16">
        <f t="shared" si="2"/>
        <v>0</v>
      </c>
      <c r="AO110" s="16"/>
      <c r="AP110" s="16">
        <f t="shared" si="20"/>
        <v>0</v>
      </c>
      <c r="AQ110" s="16"/>
      <c r="AR110" s="16">
        <f t="shared" si="21"/>
        <v>0</v>
      </c>
      <c r="AS110" s="16"/>
      <c r="AT110" s="16">
        <f t="shared" si="22"/>
        <v>0</v>
      </c>
      <c r="AU110" s="16"/>
      <c r="AV110" s="16">
        <f t="shared" si="23"/>
        <v>0</v>
      </c>
      <c r="AW110" s="16"/>
      <c r="AX110" s="16">
        <f t="shared" si="3"/>
        <v>0</v>
      </c>
      <c r="AY110" s="16"/>
      <c r="AZ110" s="16">
        <f t="shared" si="24"/>
        <v>0</v>
      </c>
      <c r="BA110" s="16"/>
      <c r="BB110" s="16">
        <f t="shared" si="25"/>
        <v>0</v>
      </c>
      <c r="BC110" s="11">
        <f t="shared" si="26"/>
        <v>0</v>
      </c>
      <c r="BD110" s="17"/>
      <c r="BE110" s="17"/>
      <c r="BF110" s="17">
        <v>250</v>
      </c>
      <c r="BG110" s="16">
        <f t="shared" si="5"/>
        <v>5750000</v>
      </c>
      <c r="BH110" s="17"/>
      <c r="BI110" s="17"/>
    </row>
    <row r="111" spans="1:61" ht="12.75">
      <c r="A111" s="38">
        <v>35989</v>
      </c>
      <c r="B111" s="39" t="s">
        <v>877</v>
      </c>
      <c r="C111" s="40" t="s">
        <v>522</v>
      </c>
      <c r="D111" s="40" t="s">
        <v>821</v>
      </c>
      <c r="E111" s="17"/>
      <c r="F111" s="16">
        <f t="shared" si="0"/>
        <v>0</v>
      </c>
      <c r="G111" s="17"/>
      <c r="H111" s="16">
        <f t="shared" si="1"/>
        <v>0</v>
      </c>
      <c r="I111" s="16"/>
      <c r="J111" s="16">
        <f t="shared" si="6"/>
        <v>0</v>
      </c>
      <c r="K111" s="16"/>
      <c r="L111" s="16">
        <f t="shared" si="7"/>
        <v>0</v>
      </c>
      <c r="M111" s="16"/>
      <c r="N111" s="16">
        <f t="shared" si="8"/>
        <v>0</v>
      </c>
      <c r="O111" s="16"/>
      <c r="P111" s="16">
        <f t="shared" si="9"/>
        <v>0</v>
      </c>
      <c r="Q111" s="16"/>
      <c r="R111" s="16">
        <f t="shared" si="10"/>
        <v>0</v>
      </c>
      <c r="S111" s="16"/>
      <c r="T111" s="16">
        <f t="shared" si="11"/>
        <v>0</v>
      </c>
      <c r="U111" s="16"/>
      <c r="V111" s="16">
        <f t="shared" si="12"/>
        <v>0</v>
      </c>
      <c r="W111" s="16"/>
      <c r="X111" s="16"/>
      <c r="Y111" s="16"/>
      <c r="Z111" s="16">
        <f t="shared" si="13"/>
        <v>0</v>
      </c>
      <c r="AA111" s="16"/>
      <c r="AB111" s="16">
        <f t="shared" si="14"/>
        <v>0</v>
      </c>
      <c r="AC111" s="16"/>
      <c r="AD111" s="16">
        <f t="shared" si="15"/>
        <v>0</v>
      </c>
      <c r="AE111" s="16"/>
      <c r="AF111" s="16">
        <f t="shared" si="16"/>
        <v>0</v>
      </c>
      <c r="AG111" s="16"/>
      <c r="AH111" s="16">
        <f t="shared" si="17"/>
        <v>0</v>
      </c>
      <c r="AI111" s="16"/>
      <c r="AJ111" s="16">
        <f t="shared" si="18"/>
        <v>0</v>
      </c>
      <c r="AK111" s="16"/>
      <c r="AL111" s="16">
        <f t="shared" si="19"/>
        <v>0</v>
      </c>
      <c r="AM111" s="16"/>
      <c r="AN111" s="16">
        <f t="shared" si="2"/>
        <v>0</v>
      </c>
      <c r="AO111" s="16"/>
      <c r="AP111" s="16">
        <f t="shared" si="20"/>
        <v>0</v>
      </c>
      <c r="AQ111" s="16"/>
      <c r="AR111" s="16">
        <f t="shared" si="21"/>
        <v>0</v>
      </c>
      <c r="AS111" s="16"/>
      <c r="AT111" s="16">
        <f t="shared" si="22"/>
        <v>0</v>
      </c>
      <c r="AU111" s="16"/>
      <c r="AV111" s="16">
        <f t="shared" si="23"/>
        <v>0</v>
      </c>
      <c r="AW111" s="16"/>
      <c r="AX111" s="16">
        <f t="shared" si="3"/>
        <v>0</v>
      </c>
      <c r="AY111" s="16"/>
      <c r="AZ111" s="16">
        <f t="shared" si="24"/>
        <v>0</v>
      </c>
      <c r="BA111" s="16">
        <v>400</v>
      </c>
      <c r="BB111" s="16">
        <f t="shared" si="25"/>
        <v>2856588</v>
      </c>
      <c r="BC111" s="11">
        <f t="shared" si="26"/>
        <v>2856588</v>
      </c>
      <c r="BD111" s="17"/>
      <c r="BE111" s="17"/>
      <c r="BF111" s="17">
        <v>58</v>
      </c>
      <c r="BG111" s="16">
        <f t="shared" si="5"/>
        <v>1334000</v>
      </c>
      <c r="BH111" s="17"/>
      <c r="BI111" s="17"/>
    </row>
    <row r="112" spans="1:61" ht="12.75">
      <c r="A112" s="38">
        <v>35982</v>
      </c>
      <c r="B112" s="39" t="s">
        <v>877</v>
      </c>
      <c r="C112" s="40" t="s">
        <v>527</v>
      </c>
      <c r="D112" s="40" t="s">
        <v>821</v>
      </c>
      <c r="E112" s="17"/>
      <c r="F112" s="16">
        <f t="shared" si="0"/>
        <v>0</v>
      </c>
      <c r="G112" s="17"/>
      <c r="H112" s="16">
        <f t="shared" si="1"/>
        <v>0</v>
      </c>
      <c r="I112" s="16"/>
      <c r="J112" s="16">
        <f t="shared" si="6"/>
        <v>0</v>
      </c>
      <c r="K112" s="16"/>
      <c r="L112" s="16">
        <f t="shared" si="7"/>
        <v>0</v>
      </c>
      <c r="M112" s="16"/>
      <c r="N112" s="16">
        <f t="shared" si="8"/>
        <v>0</v>
      </c>
      <c r="O112" s="16"/>
      <c r="P112" s="16">
        <f t="shared" si="9"/>
        <v>0</v>
      </c>
      <c r="Q112" s="16"/>
      <c r="R112" s="16">
        <f t="shared" si="10"/>
        <v>0</v>
      </c>
      <c r="S112" s="16"/>
      <c r="T112" s="16">
        <f t="shared" si="11"/>
        <v>0</v>
      </c>
      <c r="U112" s="16"/>
      <c r="V112" s="16">
        <f t="shared" si="12"/>
        <v>0</v>
      </c>
      <c r="W112" s="16"/>
      <c r="X112" s="16"/>
      <c r="Y112" s="16"/>
      <c r="Z112" s="16">
        <f t="shared" si="13"/>
        <v>0</v>
      </c>
      <c r="AA112" s="16"/>
      <c r="AB112" s="16">
        <f t="shared" si="14"/>
        <v>0</v>
      </c>
      <c r="AC112" s="16"/>
      <c r="AD112" s="16">
        <f t="shared" si="15"/>
        <v>0</v>
      </c>
      <c r="AE112" s="16"/>
      <c r="AF112" s="16">
        <f t="shared" si="16"/>
        <v>0</v>
      </c>
      <c r="AG112" s="16"/>
      <c r="AH112" s="16">
        <f t="shared" si="17"/>
        <v>0</v>
      </c>
      <c r="AI112" s="16"/>
      <c r="AJ112" s="16">
        <f t="shared" si="18"/>
        <v>0</v>
      </c>
      <c r="AK112" s="16"/>
      <c r="AL112" s="16">
        <f t="shared" si="19"/>
        <v>0</v>
      </c>
      <c r="AM112" s="16"/>
      <c r="AN112" s="16">
        <f t="shared" si="2"/>
        <v>0</v>
      </c>
      <c r="AO112" s="16"/>
      <c r="AP112" s="16">
        <f t="shared" si="20"/>
        <v>0</v>
      </c>
      <c r="AQ112" s="16"/>
      <c r="AR112" s="16">
        <f t="shared" si="21"/>
        <v>0</v>
      </c>
      <c r="AS112" s="16"/>
      <c r="AT112" s="16">
        <f t="shared" si="22"/>
        <v>0</v>
      </c>
      <c r="AU112" s="16"/>
      <c r="AV112" s="16">
        <f t="shared" si="23"/>
        <v>0</v>
      </c>
      <c r="AW112" s="16"/>
      <c r="AX112" s="16">
        <f t="shared" si="3"/>
        <v>0</v>
      </c>
      <c r="AY112" s="16"/>
      <c r="AZ112" s="16">
        <f t="shared" si="24"/>
        <v>0</v>
      </c>
      <c r="BA112" s="16"/>
      <c r="BB112" s="16">
        <f t="shared" si="25"/>
        <v>0</v>
      </c>
      <c r="BC112" s="11">
        <f t="shared" si="26"/>
        <v>0</v>
      </c>
      <c r="BD112" s="17"/>
      <c r="BE112" s="17"/>
      <c r="BF112" s="17">
        <v>85</v>
      </c>
      <c r="BG112" s="16">
        <f t="shared" si="5"/>
        <v>1955000</v>
      </c>
      <c r="BH112" s="17"/>
      <c r="BI112" s="17"/>
    </row>
    <row r="113" spans="1:61" ht="12.75">
      <c r="A113" s="38">
        <v>35977</v>
      </c>
      <c r="B113" s="39" t="s">
        <v>877</v>
      </c>
      <c r="C113" s="40" t="s">
        <v>517</v>
      </c>
      <c r="D113" s="40" t="s">
        <v>821</v>
      </c>
      <c r="E113" s="17"/>
      <c r="F113" s="16">
        <f t="shared" si="0"/>
        <v>0</v>
      </c>
      <c r="G113" s="17"/>
      <c r="H113" s="16">
        <f t="shared" si="1"/>
        <v>0</v>
      </c>
      <c r="I113" s="16"/>
      <c r="J113" s="16">
        <f t="shared" si="6"/>
        <v>0</v>
      </c>
      <c r="K113" s="16"/>
      <c r="L113" s="16">
        <f t="shared" si="7"/>
        <v>0</v>
      </c>
      <c r="M113" s="16"/>
      <c r="N113" s="16">
        <f t="shared" si="8"/>
        <v>0</v>
      </c>
      <c r="O113" s="16"/>
      <c r="P113" s="16">
        <f t="shared" si="9"/>
        <v>0</v>
      </c>
      <c r="Q113" s="16"/>
      <c r="R113" s="16">
        <f t="shared" si="10"/>
        <v>0</v>
      </c>
      <c r="S113" s="16"/>
      <c r="T113" s="16">
        <f t="shared" si="11"/>
        <v>0</v>
      </c>
      <c r="U113" s="16"/>
      <c r="V113" s="16">
        <f t="shared" si="12"/>
        <v>0</v>
      </c>
      <c r="W113" s="16"/>
      <c r="X113" s="16"/>
      <c r="Y113" s="16"/>
      <c r="Z113" s="16">
        <f t="shared" si="13"/>
        <v>0</v>
      </c>
      <c r="AA113" s="16"/>
      <c r="AB113" s="16">
        <f t="shared" si="14"/>
        <v>0</v>
      </c>
      <c r="AC113" s="16"/>
      <c r="AD113" s="16">
        <f t="shared" si="15"/>
        <v>0</v>
      </c>
      <c r="AE113" s="16"/>
      <c r="AF113" s="16">
        <f t="shared" si="16"/>
        <v>0</v>
      </c>
      <c r="AG113" s="16"/>
      <c r="AH113" s="16">
        <f t="shared" si="17"/>
        <v>0</v>
      </c>
      <c r="AI113" s="16"/>
      <c r="AJ113" s="16">
        <f t="shared" si="18"/>
        <v>0</v>
      </c>
      <c r="AK113" s="16"/>
      <c r="AL113" s="16">
        <f t="shared" si="19"/>
        <v>0</v>
      </c>
      <c r="AM113" s="16"/>
      <c r="AN113" s="16">
        <f t="shared" si="2"/>
        <v>0</v>
      </c>
      <c r="AO113" s="16"/>
      <c r="AP113" s="16">
        <f t="shared" si="20"/>
        <v>0</v>
      </c>
      <c r="AQ113" s="16"/>
      <c r="AR113" s="16">
        <f t="shared" si="21"/>
        <v>0</v>
      </c>
      <c r="AS113" s="16"/>
      <c r="AT113" s="16">
        <f t="shared" si="22"/>
        <v>0</v>
      </c>
      <c r="AU113" s="16"/>
      <c r="AV113" s="16">
        <f t="shared" si="23"/>
        <v>0</v>
      </c>
      <c r="AW113" s="16"/>
      <c r="AX113" s="16">
        <f t="shared" si="3"/>
        <v>0</v>
      </c>
      <c r="AY113" s="16"/>
      <c r="AZ113" s="16">
        <f t="shared" si="24"/>
        <v>0</v>
      </c>
      <c r="BA113" s="16"/>
      <c r="BB113" s="16">
        <f t="shared" si="25"/>
        <v>0</v>
      </c>
      <c r="BC113" s="11">
        <f t="shared" si="26"/>
        <v>0</v>
      </c>
      <c r="BD113" s="17"/>
      <c r="BE113" s="17"/>
      <c r="BF113" s="17">
        <v>125</v>
      </c>
      <c r="BG113" s="16">
        <f t="shared" si="5"/>
        <v>2875000</v>
      </c>
      <c r="BH113" s="17"/>
      <c r="BI113" s="17"/>
    </row>
    <row r="114" spans="1:61" ht="12.75">
      <c r="A114" s="38">
        <v>35989</v>
      </c>
      <c r="B114" s="39" t="s">
        <v>877</v>
      </c>
      <c r="C114" s="40" t="s">
        <v>521</v>
      </c>
      <c r="D114" s="40" t="s">
        <v>821</v>
      </c>
      <c r="E114" s="17"/>
      <c r="F114" s="16">
        <f t="shared" si="0"/>
        <v>0</v>
      </c>
      <c r="G114" s="17"/>
      <c r="H114" s="16">
        <f t="shared" si="1"/>
        <v>0</v>
      </c>
      <c r="I114" s="16"/>
      <c r="J114" s="16">
        <f t="shared" si="6"/>
        <v>0</v>
      </c>
      <c r="K114" s="16"/>
      <c r="L114" s="16">
        <f t="shared" si="7"/>
        <v>0</v>
      </c>
      <c r="M114" s="16"/>
      <c r="N114" s="16">
        <f t="shared" si="8"/>
        <v>0</v>
      </c>
      <c r="O114" s="16"/>
      <c r="P114" s="16">
        <f t="shared" si="9"/>
        <v>0</v>
      </c>
      <c r="Q114" s="16"/>
      <c r="R114" s="16">
        <f t="shared" si="10"/>
        <v>0</v>
      </c>
      <c r="S114" s="16"/>
      <c r="T114" s="16">
        <f t="shared" si="11"/>
        <v>0</v>
      </c>
      <c r="U114" s="16"/>
      <c r="V114" s="16">
        <f t="shared" si="12"/>
        <v>0</v>
      </c>
      <c r="W114" s="16"/>
      <c r="X114" s="16"/>
      <c r="Y114" s="16"/>
      <c r="Z114" s="16">
        <f t="shared" si="13"/>
        <v>0</v>
      </c>
      <c r="AA114" s="16"/>
      <c r="AB114" s="16">
        <f t="shared" si="14"/>
        <v>0</v>
      </c>
      <c r="AC114" s="16"/>
      <c r="AD114" s="16">
        <f t="shared" si="15"/>
        <v>0</v>
      </c>
      <c r="AE114" s="16"/>
      <c r="AF114" s="16">
        <f t="shared" si="16"/>
        <v>0</v>
      </c>
      <c r="AG114" s="16"/>
      <c r="AH114" s="16">
        <f t="shared" si="17"/>
        <v>0</v>
      </c>
      <c r="AI114" s="16"/>
      <c r="AJ114" s="16">
        <f t="shared" si="18"/>
        <v>0</v>
      </c>
      <c r="AK114" s="16"/>
      <c r="AL114" s="16">
        <f t="shared" si="19"/>
        <v>0</v>
      </c>
      <c r="AM114" s="16"/>
      <c r="AN114" s="16">
        <f t="shared" si="2"/>
        <v>0</v>
      </c>
      <c r="AO114" s="16"/>
      <c r="AP114" s="16">
        <f t="shared" si="20"/>
        <v>0</v>
      </c>
      <c r="AQ114" s="16"/>
      <c r="AR114" s="16">
        <f t="shared" si="21"/>
        <v>0</v>
      </c>
      <c r="AS114" s="16"/>
      <c r="AT114" s="16">
        <f t="shared" si="22"/>
        <v>0</v>
      </c>
      <c r="AU114" s="16"/>
      <c r="AV114" s="16">
        <f t="shared" si="23"/>
        <v>0</v>
      </c>
      <c r="AW114" s="16"/>
      <c r="AX114" s="16">
        <f t="shared" si="3"/>
        <v>0</v>
      </c>
      <c r="AY114" s="16"/>
      <c r="AZ114" s="16">
        <f t="shared" si="24"/>
        <v>0</v>
      </c>
      <c r="BA114" s="16"/>
      <c r="BB114" s="16">
        <f t="shared" si="25"/>
        <v>0</v>
      </c>
      <c r="BC114" s="11">
        <f t="shared" si="26"/>
        <v>0</v>
      </c>
      <c r="BD114" s="17"/>
      <c r="BE114" s="17"/>
      <c r="BF114" s="17">
        <v>48</v>
      </c>
      <c r="BG114" s="16">
        <f t="shared" si="5"/>
        <v>1104000</v>
      </c>
      <c r="BH114" s="17"/>
      <c r="BI114" s="17"/>
    </row>
    <row r="115" spans="1:61" ht="12.75">
      <c r="A115" s="38">
        <v>35977</v>
      </c>
      <c r="B115" s="39" t="s">
        <v>877</v>
      </c>
      <c r="C115" s="40" t="s">
        <v>519</v>
      </c>
      <c r="D115" s="40" t="s">
        <v>821</v>
      </c>
      <c r="E115" s="17"/>
      <c r="F115" s="16">
        <f t="shared" si="0"/>
        <v>0</v>
      </c>
      <c r="G115" s="17"/>
      <c r="H115" s="16">
        <f t="shared" si="1"/>
        <v>0</v>
      </c>
      <c r="I115" s="16"/>
      <c r="J115" s="16">
        <f t="shared" si="6"/>
        <v>0</v>
      </c>
      <c r="K115" s="16"/>
      <c r="L115" s="16">
        <f t="shared" si="7"/>
        <v>0</v>
      </c>
      <c r="M115" s="16"/>
      <c r="N115" s="16">
        <f t="shared" si="8"/>
        <v>0</v>
      </c>
      <c r="O115" s="16"/>
      <c r="P115" s="16">
        <f t="shared" si="9"/>
        <v>0</v>
      </c>
      <c r="Q115" s="16"/>
      <c r="R115" s="16">
        <f t="shared" si="10"/>
        <v>0</v>
      </c>
      <c r="S115" s="16"/>
      <c r="T115" s="16">
        <f t="shared" si="11"/>
        <v>0</v>
      </c>
      <c r="U115" s="16"/>
      <c r="V115" s="16">
        <f t="shared" si="12"/>
        <v>0</v>
      </c>
      <c r="W115" s="16"/>
      <c r="X115" s="16"/>
      <c r="Y115" s="16"/>
      <c r="Z115" s="16">
        <f t="shared" si="13"/>
        <v>0</v>
      </c>
      <c r="AA115" s="16"/>
      <c r="AB115" s="16">
        <f t="shared" si="14"/>
        <v>0</v>
      </c>
      <c r="AC115" s="16"/>
      <c r="AD115" s="16">
        <f t="shared" si="15"/>
        <v>0</v>
      </c>
      <c r="AE115" s="16"/>
      <c r="AF115" s="16">
        <f t="shared" si="16"/>
        <v>0</v>
      </c>
      <c r="AG115" s="16"/>
      <c r="AH115" s="16">
        <f t="shared" si="17"/>
        <v>0</v>
      </c>
      <c r="AI115" s="16"/>
      <c r="AJ115" s="16">
        <f t="shared" si="18"/>
        <v>0</v>
      </c>
      <c r="AK115" s="16"/>
      <c r="AL115" s="16">
        <f t="shared" si="19"/>
        <v>0</v>
      </c>
      <c r="AM115" s="16"/>
      <c r="AN115" s="16">
        <f t="shared" si="2"/>
        <v>0</v>
      </c>
      <c r="AO115" s="16"/>
      <c r="AP115" s="16">
        <f t="shared" si="20"/>
        <v>0</v>
      </c>
      <c r="AQ115" s="16"/>
      <c r="AR115" s="16">
        <f t="shared" si="21"/>
        <v>0</v>
      </c>
      <c r="AS115" s="16"/>
      <c r="AT115" s="16">
        <f t="shared" si="22"/>
        <v>0</v>
      </c>
      <c r="AU115" s="16"/>
      <c r="AV115" s="16">
        <f t="shared" si="23"/>
        <v>0</v>
      </c>
      <c r="AW115" s="16"/>
      <c r="AX115" s="16">
        <f t="shared" si="3"/>
        <v>0</v>
      </c>
      <c r="AY115" s="16"/>
      <c r="AZ115" s="16">
        <f t="shared" si="24"/>
        <v>0</v>
      </c>
      <c r="BA115" s="16"/>
      <c r="BB115" s="16">
        <f t="shared" si="25"/>
        <v>0</v>
      </c>
      <c r="BC115" s="11">
        <f t="shared" si="26"/>
        <v>0</v>
      </c>
      <c r="BD115" s="17"/>
      <c r="BE115" s="17"/>
      <c r="BF115" s="17">
        <v>68</v>
      </c>
      <c r="BG115" s="16">
        <f t="shared" si="5"/>
        <v>1564000</v>
      </c>
      <c r="BH115" s="17"/>
      <c r="BI115" s="17"/>
    </row>
    <row r="116" spans="1:61" ht="12.75">
      <c r="A116" s="38">
        <v>35982</v>
      </c>
      <c r="B116" s="39" t="s">
        <v>877</v>
      </c>
      <c r="C116" s="40" t="s">
        <v>529</v>
      </c>
      <c r="D116" s="40" t="s">
        <v>821</v>
      </c>
      <c r="E116" s="17"/>
      <c r="F116" s="16">
        <f t="shared" si="0"/>
        <v>0</v>
      </c>
      <c r="G116" s="17"/>
      <c r="H116" s="16">
        <f t="shared" si="1"/>
        <v>0</v>
      </c>
      <c r="I116" s="16"/>
      <c r="J116" s="16">
        <f t="shared" si="6"/>
        <v>0</v>
      </c>
      <c r="K116" s="16"/>
      <c r="L116" s="16">
        <f t="shared" si="7"/>
        <v>0</v>
      </c>
      <c r="M116" s="16"/>
      <c r="N116" s="16">
        <f t="shared" si="8"/>
        <v>0</v>
      </c>
      <c r="O116" s="16"/>
      <c r="P116" s="16">
        <f t="shared" si="9"/>
        <v>0</v>
      </c>
      <c r="Q116" s="16"/>
      <c r="R116" s="16">
        <f t="shared" si="10"/>
        <v>0</v>
      </c>
      <c r="S116" s="16"/>
      <c r="T116" s="16">
        <f t="shared" si="11"/>
        <v>0</v>
      </c>
      <c r="U116" s="16"/>
      <c r="V116" s="16">
        <f t="shared" si="12"/>
        <v>0</v>
      </c>
      <c r="W116" s="16"/>
      <c r="X116" s="16"/>
      <c r="Y116" s="16"/>
      <c r="Z116" s="16">
        <f t="shared" si="13"/>
        <v>0</v>
      </c>
      <c r="AA116" s="16"/>
      <c r="AB116" s="16">
        <f t="shared" si="14"/>
        <v>0</v>
      </c>
      <c r="AC116" s="16"/>
      <c r="AD116" s="16">
        <f t="shared" si="15"/>
        <v>0</v>
      </c>
      <c r="AE116" s="16"/>
      <c r="AF116" s="16">
        <f t="shared" si="16"/>
        <v>0</v>
      </c>
      <c r="AG116" s="16"/>
      <c r="AH116" s="16">
        <f t="shared" si="17"/>
        <v>0</v>
      </c>
      <c r="AI116" s="16"/>
      <c r="AJ116" s="16">
        <f t="shared" si="18"/>
        <v>0</v>
      </c>
      <c r="AK116" s="16"/>
      <c r="AL116" s="16">
        <f t="shared" si="19"/>
        <v>0</v>
      </c>
      <c r="AM116" s="16"/>
      <c r="AN116" s="16">
        <f t="shared" si="2"/>
        <v>0</v>
      </c>
      <c r="AO116" s="16"/>
      <c r="AP116" s="16">
        <f t="shared" si="20"/>
        <v>0</v>
      </c>
      <c r="AQ116" s="16"/>
      <c r="AR116" s="16">
        <f t="shared" si="21"/>
        <v>0</v>
      </c>
      <c r="AS116" s="16"/>
      <c r="AT116" s="16">
        <f t="shared" si="22"/>
        <v>0</v>
      </c>
      <c r="AU116" s="16"/>
      <c r="AV116" s="16">
        <f t="shared" si="23"/>
        <v>0</v>
      </c>
      <c r="AW116" s="16"/>
      <c r="AX116" s="16">
        <f t="shared" si="3"/>
        <v>0</v>
      </c>
      <c r="AY116" s="16"/>
      <c r="AZ116" s="16">
        <f t="shared" si="24"/>
        <v>0</v>
      </c>
      <c r="BA116" s="16"/>
      <c r="BB116" s="16">
        <f t="shared" si="25"/>
        <v>0</v>
      </c>
      <c r="BC116" s="11">
        <f t="shared" si="26"/>
        <v>0</v>
      </c>
      <c r="BD116" s="17"/>
      <c r="BE116" s="17"/>
      <c r="BF116" s="17">
        <v>20</v>
      </c>
      <c r="BG116" s="16">
        <f t="shared" si="5"/>
        <v>460000</v>
      </c>
      <c r="BH116" s="17"/>
      <c r="BI116" s="17"/>
    </row>
    <row r="117" spans="1:61" ht="12.75">
      <c r="A117" s="38">
        <v>35982</v>
      </c>
      <c r="B117" s="39" t="s">
        <v>877</v>
      </c>
      <c r="C117" s="40" t="s">
        <v>530</v>
      </c>
      <c r="D117" s="40" t="s">
        <v>821</v>
      </c>
      <c r="E117" s="17"/>
      <c r="F117" s="16">
        <f t="shared" si="0"/>
        <v>0</v>
      </c>
      <c r="G117" s="17"/>
      <c r="H117" s="16">
        <f t="shared" si="1"/>
        <v>0</v>
      </c>
      <c r="I117" s="16"/>
      <c r="J117" s="16">
        <f t="shared" si="6"/>
        <v>0</v>
      </c>
      <c r="K117" s="16"/>
      <c r="L117" s="16">
        <f t="shared" si="7"/>
        <v>0</v>
      </c>
      <c r="M117" s="16"/>
      <c r="N117" s="16">
        <f t="shared" si="8"/>
        <v>0</v>
      </c>
      <c r="O117" s="16"/>
      <c r="P117" s="16">
        <f t="shared" si="9"/>
        <v>0</v>
      </c>
      <c r="Q117" s="16"/>
      <c r="R117" s="16">
        <f t="shared" si="10"/>
        <v>0</v>
      </c>
      <c r="S117" s="16"/>
      <c r="T117" s="16">
        <f t="shared" si="11"/>
        <v>0</v>
      </c>
      <c r="U117" s="16"/>
      <c r="V117" s="16">
        <f t="shared" si="12"/>
        <v>0</v>
      </c>
      <c r="W117" s="16"/>
      <c r="X117" s="16"/>
      <c r="Y117" s="16"/>
      <c r="Z117" s="16">
        <f t="shared" si="13"/>
        <v>0</v>
      </c>
      <c r="AA117" s="16"/>
      <c r="AB117" s="16">
        <f t="shared" si="14"/>
        <v>0</v>
      </c>
      <c r="AC117" s="16"/>
      <c r="AD117" s="16">
        <f t="shared" si="15"/>
        <v>0</v>
      </c>
      <c r="AE117" s="16"/>
      <c r="AF117" s="16">
        <f t="shared" si="16"/>
        <v>0</v>
      </c>
      <c r="AG117" s="16"/>
      <c r="AH117" s="16">
        <f t="shared" si="17"/>
        <v>0</v>
      </c>
      <c r="AI117" s="16"/>
      <c r="AJ117" s="16">
        <f t="shared" si="18"/>
        <v>0</v>
      </c>
      <c r="AK117" s="16"/>
      <c r="AL117" s="16">
        <f t="shared" si="19"/>
        <v>0</v>
      </c>
      <c r="AM117" s="16"/>
      <c r="AN117" s="16">
        <f t="shared" si="2"/>
        <v>0</v>
      </c>
      <c r="AO117" s="16"/>
      <c r="AP117" s="16">
        <f t="shared" si="20"/>
        <v>0</v>
      </c>
      <c r="AQ117" s="16"/>
      <c r="AR117" s="16">
        <f t="shared" si="21"/>
        <v>0</v>
      </c>
      <c r="AS117" s="16"/>
      <c r="AT117" s="16">
        <f t="shared" si="22"/>
        <v>0</v>
      </c>
      <c r="AU117" s="16"/>
      <c r="AV117" s="16">
        <f t="shared" si="23"/>
        <v>0</v>
      </c>
      <c r="AW117" s="16"/>
      <c r="AX117" s="16">
        <f t="shared" si="3"/>
        <v>0</v>
      </c>
      <c r="AY117" s="16"/>
      <c r="AZ117" s="16">
        <f t="shared" si="24"/>
        <v>0</v>
      </c>
      <c r="BA117" s="16"/>
      <c r="BB117" s="16">
        <f t="shared" si="25"/>
        <v>0</v>
      </c>
      <c r="BC117" s="11">
        <f t="shared" si="26"/>
        <v>0</v>
      </c>
      <c r="BD117" s="17"/>
      <c r="BE117" s="17"/>
      <c r="BF117" s="17">
        <v>15</v>
      </c>
      <c r="BG117" s="16">
        <f t="shared" si="5"/>
        <v>345000</v>
      </c>
      <c r="BH117" s="17"/>
      <c r="BI117" s="17"/>
    </row>
    <row r="118" spans="1:61" ht="22.5">
      <c r="A118" s="38">
        <v>35982</v>
      </c>
      <c r="B118" s="39" t="s">
        <v>877</v>
      </c>
      <c r="C118" s="40" t="s">
        <v>279</v>
      </c>
      <c r="D118" s="40" t="s">
        <v>821</v>
      </c>
      <c r="E118" s="17"/>
      <c r="F118" s="16">
        <f t="shared" si="0"/>
        <v>0</v>
      </c>
      <c r="G118" s="17"/>
      <c r="H118" s="16">
        <f t="shared" si="1"/>
        <v>0</v>
      </c>
      <c r="I118" s="16"/>
      <c r="J118" s="16">
        <f t="shared" si="6"/>
        <v>0</v>
      </c>
      <c r="K118" s="16"/>
      <c r="L118" s="16">
        <f t="shared" si="7"/>
        <v>0</v>
      </c>
      <c r="M118" s="16"/>
      <c r="N118" s="16">
        <f t="shared" si="8"/>
        <v>0</v>
      </c>
      <c r="O118" s="16"/>
      <c r="P118" s="16">
        <f t="shared" si="9"/>
        <v>0</v>
      </c>
      <c r="Q118" s="16"/>
      <c r="R118" s="16">
        <f t="shared" si="10"/>
        <v>0</v>
      </c>
      <c r="S118" s="16"/>
      <c r="T118" s="16">
        <f t="shared" si="11"/>
        <v>0</v>
      </c>
      <c r="U118" s="16"/>
      <c r="V118" s="16">
        <f t="shared" si="12"/>
        <v>0</v>
      </c>
      <c r="W118" s="16"/>
      <c r="X118" s="16"/>
      <c r="Y118" s="16"/>
      <c r="Z118" s="16">
        <f t="shared" si="13"/>
        <v>0</v>
      </c>
      <c r="AA118" s="16"/>
      <c r="AB118" s="16">
        <f t="shared" si="14"/>
        <v>0</v>
      </c>
      <c r="AC118" s="16"/>
      <c r="AD118" s="16">
        <f t="shared" si="15"/>
        <v>0</v>
      </c>
      <c r="AE118" s="16"/>
      <c r="AF118" s="16">
        <f t="shared" si="16"/>
        <v>0</v>
      </c>
      <c r="AG118" s="16"/>
      <c r="AH118" s="16">
        <f t="shared" si="17"/>
        <v>0</v>
      </c>
      <c r="AI118" s="16"/>
      <c r="AJ118" s="16">
        <f t="shared" si="18"/>
        <v>0</v>
      </c>
      <c r="AK118" s="16"/>
      <c r="AL118" s="16">
        <f t="shared" si="19"/>
        <v>0</v>
      </c>
      <c r="AM118" s="16"/>
      <c r="AN118" s="16">
        <f t="shared" si="2"/>
        <v>0</v>
      </c>
      <c r="AO118" s="16"/>
      <c r="AP118" s="16">
        <f t="shared" si="20"/>
        <v>0</v>
      </c>
      <c r="AQ118" s="16"/>
      <c r="AR118" s="16">
        <f t="shared" si="21"/>
        <v>0</v>
      </c>
      <c r="AS118" s="16"/>
      <c r="AT118" s="16">
        <f t="shared" si="22"/>
        <v>0</v>
      </c>
      <c r="AU118" s="16"/>
      <c r="AV118" s="16">
        <f t="shared" si="23"/>
        <v>0</v>
      </c>
      <c r="AW118" s="16"/>
      <c r="AX118" s="16">
        <f t="shared" si="3"/>
        <v>0</v>
      </c>
      <c r="AY118" s="16"/>
      <c r="AZ118" s="16">
        <f t="shared" si="24"/>
        <v>0</v>
      </c>
      <c r="BA118" s="16"/>
      <c r="BB118" s="16">
        <f t="shared" si="25"/>
        <v>0</v>
      </c>
      <c r="BC118" s="11">
        <f t="shared" si="26"/>
        <v>0</v>
      </c>
      <c r="BD118" s="17"/>
      <c r="BE118" s="17"/>
      <c r="BF118" s="17">
        <v>14</v>
      </c>
      <c r="BG118" s="16">
        <f t="shared" si="5"/>
        <v>322000</v>
      </c>
      <c r="BH118" s="17"/>
      <c r="BI118" s="17"/>
    </row>
    <row r="119" spans="1:61" ht="12.75">
      <c r="A119" s="38">
        <v>35982</v>
      </c>
      <c r="B119" s="39" t="s">
        <v>877</v>
      </c>
      <c r="C119" s="40" t="s">
        <v>528</v>
      </c>
      <c r="D119" s="40" t="s">
        <v>821</v>
      </c>
      <c r="E119" s="17"/>
      <c r="F119" s="16">
        <f t="shared" si="0"/>
        <v>0</v>
      </c>
      <c r="G119" s="17"/>
      <c r="H119" s="16">
        <f t="shared" si="1"/>
        <v>0</v>
      </c>
      <c r="I119" s="16"/>
      <c r="J119" s="16">
        <f t="shared" si="6"/>
        <v>0</v>
      </c>
      <c r="K119" s="16"/>
      <c r="L119" s="16">
        <f t="shared" si="7"/>
        <v>0</v>
      </c>
      <c r="M119" s="16"/>
      <c r="N119" s="16">
        <f t="shared" si="8"/>
        <v>0</v>
      </c>
      <c r="O119" s="16"/>
      <c r="P119" s="16">
        <f t="shared" si="9"/>
        <v>0</v>
      </c>
      <c r="Q119" s="16"/>
      <c r="R119" s="16">
        <f t="shared" si="10"/>
        <v>0</v>
      </c>
      <c r="S119" s="16"/>
      <c r="T119" s="16">
        <f t="shared" si="11"/>
        <v>0</v>
      </c>
      <c r="U119" s="16"/>
      <c r="V119" s="16">
        <f t="shared" si="12"/>
        <v>0</v>
      </c>
      <c r="W119" s="16"/>
      <c r="X119" s="16"/>
      <c r="Y119" s="16"/>
      <c r="Z119" s="16">
        <f t="shared" si="13"/>
        <v>0</v>
      </c>
      <c r="AA119" s="16"/>
      <c r="AB119" s="16">
        <f t="shared" si="14"/>
        <v>0</v>
      </c>
      <c r="AC119" s="16"/>
      <c r="AD119" s="16">
        <f t="shared" si="15"/>
        <v>0</v>
      </c>
      <c r="AE119" s="16"/>
      <c r="AF119" s="16">
        <f t="shared" si="16"/>
        <v>0</v>
      </c>
      <c r="AG119" s="16"/>
      <c r="AH119" s="16">
        <f t="shared" si="17"/>
        <v>0</v>
      </c>
      <c r="AI119" s="16"/>
      <c r="AJ119" s="16">
        <f t="shared" si="18"/>
        <v>0</v>
      </c>
      <c r="AK119" s="16"/>
      <c r="AL119" s="16">
        <f t="shared" si="19"/>
        <v>0</v>
      </c>
      <c r="AM119" s="16"/>
      <c r="AN119" s="16">
        <f t="shared" si="2"/>
        <v>0</v>
      </c>
      <c r="AO119" s="16"/>
      <c r="AP119" s="16">
        <f t="shared" si="20"/>
        <v>0</v>
      </c>
      <c r="AQ119" s="16"/>
      <c r="AR119" s="16">
        <f t="shared" si="21"/>
        <v>0</v>
      </c>
      <c r="AS119" s="16"/>
      <c r="AT119" s="16">
        <f t="shared" si="22"/>
        <v>0</v>
      </c>
      <c r="AU119" s="16"/>
      <c r="AV119" s="16">
        <f t="shared" si="23"/>
        <v>0</v>
      </c>
      <c r="AW119" s="16"/>
      <c r="AX119" s="16">
        <f t="shared" si="3"/>
        <v>0</v>
      </c>
      <c r="AY119" s="16"/>
      <c r="AZ119" s="16">
        <f t="shared" si="24"/>
        <v>0</v>
      </c>
      <c r="BA119" s="16"/>
      <c r="BB119" s="16">
        <f t="shared" si="25"/>
        <v>0</v>
      </c>
      <c r="BC119" s="11">
        <f t="shared" si="26"/>
        <v>0</v>
      </c>
      <c r="BD119" s="17"/>
      <c r="BE119" s="17"/>
      <c r="BF119" s="17">
        <v>85</v>
      </c>
      <c r="BG119" s="16">
        <f t="shared" si="5"/>
        <v>1955000</v>
      </c>
      <c r="BH119" s="17"/>
      <c r="BI119" s="17"/>
    </row>
    <row r="120" spans="1:61" ht="12.75">
      <c r="A120" s="38">
        <v>35982</v>
      </c>
      <c r="B120" s="39" t="s">
        <v>877</v>
      </c>
      <c r="C120" s="40" t="s">
        <v>878</v>
      </c>
      <c r="D120" s="40" t="s">
        <v>821</v>
      </c>
      <c r="E120" s="17"/>
      <c r="F120" s="16">
        <f t="shared" si="0"/>
        <v>0</v>
      </c>
      <c r="G120" s="17"/>
      <c r="H120" s="16">
        <f t="shared" si="1"/>
        <v>0</v>
      </c>
      <c r="I120" s="16"/>
      <c r="J120" s="16">
        <f t="shared" si="6"/>
        <v>0</v>
      </c>
      <c r="K120" s="16"/>
      <c r="L120" s="16">
        <f t="shared" si="7"/>
        <v>0</v>
      </c>
      <c r="M120" s="16"/>
      <c r="N120" s="16">
        <f t="shared" si="8"/>
        <v>0</v>
      </c>
      <c r="O120" s="16"/>
      <c r="P120" s="16">
        <f t="shared" si="9"/>
        <v>0</v>
      </c>
      <c r="Q120" s="16"/>
      <c r="R120" s="16">
        <f t="shared" si="10"/>
        <v>0</v>
      </c>
      <c r="S120" s="16"/>
      <c r="T120" s="16">
        <f t="shared" si="11"/>
        <v>0</v>
      </c>
      <c r="U120" s="16"/>
      <c r="V120" s="16">
        <f t="shared" si="12"/>
        <v>0</v>
      </c>
      <c r="W120" s="16"/>
      <c r="X120" s="16"/>
      <c r="Y120" s="16"/>
      <c r="Z120" s="16">
        <f t="shared" si="13"/>
        <v>0</v>
      </c>
      <c r="AA120" s="16"/>
      <c r="AB120" s="16">
        <f t="shared" si="14"/>
        <v>0</v>
      </c>
      <c r="AC120" s="16"/>
      <c r="AD120" s="16">
        <f t="shared" si="15"/>
        <v>0</v>
      </c>
      <c r="AE120" s="16"/>
      <c r="AF120" s="16">
        <f t="shared" si="16"/>
        <v>0</v>
      </c>
      <c r="AG120" s="16"/>
      <c r="AH120" s="16">
        <f t="shared" si="17"/>
        <v>0</v>
      </c>
      <c r="AI120" s="16"/>
      <c r="AJ120" s="16">
        <f t="shared" si="18"/>
        <v>0</v>
      </c>
      <c r="AK120" s="16"/>
      <c r="AL120" s="16">
        <f t="shared" si="19"/>
        <v>0</v>
      </c>
      <c r="AM120" s="16"/>
      <c r="AN120" s="16">
        <f t="shared" si="2"/>
        <v>0</v>
      </c>
      <c r="AO120" s="16"/>
      <c r="AP120" s="16">
        <f t="shared" si="20"/>
        <v>0</v>
      </c>
      <c r="AQ120" s="16"/>
      <c r="AR120" s="16">
        <f t="shared" si="21"/>
        <v>0</v>
      </c>
      <c r="AS120" s="16"/>
      <c r="AT120" s="16">
        <f t="shared" si="22"/>
        <v>0</v>
      </c>
      <c r="AU120" s="16"/>
      <c r="AV120" s="16">
        <f t="shared" si="23"/>
        <v>0</v>
      </c>
      <c r="AW120" s="16"/>
      <c r="AX120" s="16">
        <f t="shared" si="3"/>
        <v>0</v>
      </c>
      <c r="AY120" s="16"/>
      <c r="AZ120" s="16">
        <f t="shared" si="24"/>
        <v>0</v>
      </c>
      <c r="BA120" s="16"/>
      <c r="BB120" s="16">
        <f t="shared" si="25"/>
        <v>0</v>
      </c>
      <c r="BC120" s="11">
        <f t="shared" si="26"/>
        <v>0</v>
      </c>
      <c r="BD120" s="17"/>
      <c r="BE120" s="17"/>
      <c r="BF120" s="17">
        <v>57</v>
      </c>
      <c r="BG120" s="16">
        <f t="shared" si="5"/>
        <v>1311000</v>
      </c>
      <c r="BH120" s="17"/>
      <c r="BI120" s="17"/>
    </row>
    <row r="121" spans="1:61" ht="12.75">
      <c r="A121" s="38">
        <v>35982</v>
      </c>
      <c r="B121" s="39" t="s">
        <v>877</v>
      </c>
      <c r="C121" s="40" t="s">
        <v>531</v>
      </c>
      <c r="D121" s="40" t="s">
        <v>821</v>
      </c>
      <c r="E121" s="17"/>
      <c r="F121" s="16">
        <f t="shared" si="0"/>
        <v>0</v>
      </c>
      <c r="G121" s="17"/>
      <c r="H121" s="16">
        <f t="shared" si="1"/>
        <v>0</v>
      </c>
      <c r="I121" s="16"/>
      <c r="J121" s="16">
        <f t="shared" si="6"/>
        <v>0</v>
      </c>
      <c r="K121" s="16"/>
      <c r="L121" s="16">
        <f t="shared" si="7"/>
        <v>0</v>
      </c>
      <c r="M121" s="16"/>
      <c r="N121" s="16">
        <f t="shared" si="8"/>
        <v>0</v>
      </c>
      <c r="O121" s="16"/>
      <c r="P121" s="16">
        <f t="shared" si="9"/>
        <v>0</v>
      </c>
      <c r="Q121" s="16"/>
      <c r="R121" s="16">
        <f t="shared" si="10"/>
        <v>0</v>
      </c>
      <c r="S121" s="16"/>
      <c r="T121" s="16">
        <f t="shared" si="11"/>
        <v>0</v>
      </c>
      <c r="U121" s="16"/>
      <c r="V121" s="16">
        <f t="shared" si="12"/>
        <v>0</v>
      </c>
      <c r="W121" s="16"/>
      <c r="X121" s="16"/>
      <c r="Y121" s="16"/>
      <c r="Z121" s="16">
        <f t="shared" si="13"/>
        <v>0</v>
      </c>
      <c r="AA121" s="16"/>
      <c r="AB121" s="16">
        <f t="shared" si="14"/>
        <v>0</v>
      </c>
      <c r="AC121" s="16"/>
      <c r="AD121" s="16">
        <f t="shared" si="15"/>
        <v>0</v>
      </c>
      <c r="AE121" s="16"/>
      <c r="AF121" s="16">
        <f t="shared" si="16"/>
        <v>0</v>
      </c>
      <c r="AG121" s="16"/>
      <c r="AH121" s="16">
        <f t="shared" si="17"/>
        <v>0</v>
      </c>
      <c r="AI121" s="16"/>
      <c r="AJ121" s="16">
        <f t="shared" si="18"/>
        <v>0</v>
      </c>
      <c r="AK121" s="16"/>
      <c r="AL121" s="16">
        <f t="shared" si="19"/>
        <v>0</v>
      </c>
      <c r="AM121" s="16"/>
      <c r="AN121" s="16">
        <f t="shared" si="2"/>
        <v>0</v>
      </c>
      <c r="AO121" s="16"/>
      <c r="AP121" s="16">
        <f t="shared" si="20"/>
        <v>0</v>
      </c>
      <c r="AQ121" s="16"/>
      <c r="AR121" s="16">
        <f t="shared" si="21"/>
        <v>0</v>
      </c>
      <c r="AS121" s="16"/>
      <c r="AT121" s="16">
        <f t="shared" si="22"/>
        <v>0</v>
      </c>
      <c r="AU121" s="16"/>
      <c r="AV121" s="16">
        <f t="shared" si="23"/>
        <v>0</v>
      </c>
      <c r="AW121" s="16"/>
      <c r="AX121" s="16">
        <f t="shared" si="3"/>
        <v>0</v>
      </c>
      <c r="AY121" s="16"/>
      <c r="AZ121" s="16">
        <f t="shared" si="24"/>
        <v>0</v>
      </c>
      <c r="BA121" s="16"/>
      <c r="BB121" s="16">
        <f t="shared" si="25"/>
        <v>0</v>
      </c>
      <c r="BC121" s="11">
        <f t="shared" si="26"/>
        <v>0</v>
      </c>
      <c r="BD121" s="17"/>
      <c r="BE121" s="17"/>
      <c r="BF121" s="17">
        <v>47</v>
      </c>
      <c r="BG121" s="16">
        <f t="shared" si="5"/>
        <v>1081000</v>
      </c>
      <c r="BH121" s="17"/>
      <c r="BI121" s="17"/>
    </row>
    <row r="122" spans="1:61" ht="12.75">
      <c r="A122" s="38">
        <v>35982</v>
      </c>
      <c r="B122" s="39" t="s">
        <v>877</v>
      </c>
      <c r="C122" s="40" t="s">
        <v>532</v>
      </c>
      <c r="D122" s="40" t="s">
        <v>821</v>
      </c>
      <c r="E122" s="17"/>
      <c r="F122" s="16">
        <f t="shared" si="0"/>
        <v>0</v>
      </c>
      <c r="G122" s="17"/>
      <c r="H122" s="16">
        <f t="shared" si="1"/>
        <v>0</v>
      </c>
      <c r="I122" s="16"/>
      <c r="J122" s="16">
        <f t="shared" si="6"/>
        <v>0</v>
      </c>
      <c r="K122" s="16"/>
      <c r="L122" s="16">
        <f t="shared" si="7"/>
        <v>0</v>
      </c>
      <c r="M122" s="16"/>
      <c r="N122" s="16">
        <f t="shared" si="8"/>
        <v>0</v>
      </c>
      <c r="O122" s="16"/>
      <c r="P122" s="16">
        <f t="shared" si="9"/>
        <v>0</v>
      </c>
      <c r="Q122" s="16"/>
      <c r="R122" s="16">
        <f t="shared" si="10"/>
        <v>0</v>
      </c>
      <c r="S122" s="16"/>
      <c r="T122" s="16">
        <f t="shared" si="11"/>
        <v>0</v>
      </c>
      <c r="U122" s="16"/>
      <c r="V122" s="16">
        <f t="shared" si="12"/>
        <v>0</v>
      </c>
      <c r="W122" s="16"/>
      <c r="X122" s="16"/>
      <c r="Y122" s="16"/>
      <c r="Z122" s="16">
        <f t="shared" si="13"/>
        <v>0</v>
      </c>
      <c r="AA122" s="16"/>
      <c r="AB122" s="16">
        <f t="shared" si="14"/>
        <v>0</v>
      </c>
      <c r="AC122" s="16"/>
      <c r="AD122" s="16">
        <f t="shared" si="15"/>
        <v>0</v>
      </c>
      <c r="AE122" s="16"/>
      <c r="AF122" s="16">
        <f t="shared" si="16"/>
        <v>0</v>
      </c>
      <c r="AG122" s="16"/>
      <c r="AH122" s="16">
        <f t="shared" si="17"/>
        <v>0</v>
      </c>
      <c r="AI122" s="16"/>
      <c r="AJ122" s="16">
        <f t="shared" si="18"/>
        <v>0</v>
      </c>
      <c r="AK122" s="16"/>
      <c r="AL122" s="16">
        <f t="shared" si="19"/>
        <v>0</v>
      </c>
      <c r="AM122" s="16"/>
      <c r="AN122" s="16">
        <f t="shared" si="2"/>
        <v>0</v>
      </c>
      <c r="AO122" s="16"/>
      <c r="AP122" s="16">
        <f t="shared" si="20"/>
        <v>0</v>
      </c>
      <c r="AQ122" s="16"/>
      <c r="AR122" s="16">
        <f t="shared" si="21"/>
        <v>0</v>
      </c>
      <c r="AS122" s="16"/>
      <c r="AT122" s="16">
        <f t="shared" si="22"/>
        <v>0</v>
      </c>
      <c r="AU122" s="16"/>
      <c r="AV122" s="16">
        <f t="shared" si="23"/>
        <v>0</v>
      </c>
      <c r="AW122" s="16"/>
      <c r="AX122" s="16">
        <f t="shared" si="3"/>
        <v>0</v>
      </c>
      <c r="AY122" s="16"/>
      <c r="AZ122" s="16">
        <f t="shared" si="24"/>
        <v>0</v>
      </c>
      <c r="BA122" s="16"/>
      <c r="BB122" s="16">
        <f t="shared" si="25"/>
        <v>0</v>
      </c>
      <c r="BC122" s="11">
        <f t="shared" si="26"/>
        <v>0</v>
      </c>
      <c r="BD122" s="17"/>
      <c r="BE122" s="17"/>
      <c r="BF122" s="17">
        <v>78</v>
      </c>
      <c r="BG122" s="16">
        <f t="shared" si="5"/>
        <v>1794000</v>
      </c>
      <c r="BH122" s="17"/>
      <c r="BI122" s="17"/>
    </row>
    <row r="123" spans="1:61" ht="12.75">
      <c r="A123" s="38">
        <v>35977</v>
      </c>
      <c r="B123" s="39" t="s">
        <v>877</v>
      </c>
      <c r="C123" s="40" t="s">
        <v>875</v>
      </c>
      <c r="D123" s="40" t="s">
        <v>821</v>
      </c>
      <c r="E123" s="17"/>
      <c r="F123" s="16">
        <f t="shared" si="0"/>
        <v>0</v>
      </c>
      <c r="G123" s="17"/>
      <c r="H123" s="16">
        <f t="shared" si="1"/>
        <v>0</v>
      </c>
      <c r="I123" s="16"/>
      <c r="J123" s="16">
        <f t="shared" si="6"/>
        <v>0</v>
      </c>
      <c r="K123" s="16"/>
      <c r="L123" s="16">
        <f t="shared" si="7"/>
        <v>0</v>
      </c>
      <c r="M123" s="16"/>
      <c r="N123" s="16">
        <f t="shared" si="8"/>
        <v>0</v>
      </c>
      <c r="O123" s="16"/>
      <c r="P123" s="16">
        <f t="shared" si="9"/>
        <v>0</v>
      </c>
      <c r="Q123" s="16"/>
      <c r="R123" s="16">
        <f t="shared" si="10"/>
        <v>0</v>
      </c>
      <c r="S123" s="16"/>
      <c r="T123" s="16">
        <f t="shared" si="11"/>
        <v>0</v>
      </c>
      <c r="U123" s="16"/>
      <c r="V123" s="16">
        <f t="shared" si="12"/>
        <v>0</v>
      </c>
      <c r="W123" s="16"/>
      <c r="X123" s="16"/>
      <c r="Y123" s="16"/>
      <c r="Z123" s="16">
        <f t="shared" si="13"/>
        <v>0</v>
      </c>
      <c r="AA123" s="16"/>
      <c r="AB123" s="16">
        <f t="shared" si="14"/>
        <v>0</v>
      </c>
      <c r="AC123" s="16"/>
      <c r="AD123" s="16">
        <f t="shared" si="15"/>
        <v>0</v>
      </c>
      <c r="AE123" s="16"/>
      <c r="AF123" s="16">
        <f t="shared" si="16"/>
        <v>0</v>
      </c>
      <c r="AG123" s="16"/>
      <c r="AH123" s="16">
        <f t="shared" si="17"/>
        <v>0</v>
      </c>
      <c r="AI123" s="16"/>
      <c r="AJ123" s="16">
        <f t="shared" si="18"/>
        <v>0</v>
      </c>
      <c r="AK123" s="16"/>
      <c r="AL123" s="16">
        <f t="shared" si="19"/>
        <v>0</v>
      </c>
      <c r="AM123" s="16"/>
      <c r="AN123" s="16">
        <f t="shared" si="2"/>
        <v>0</v>
      </c>
      <c r="AO123" s="16"/>
      <c r="AP123" s="16">
        <f t="shared" si="20"/>
        <v>0</v>
      </c>
      <c r="AQ123" s="16"/>
      <c r="AR123" s="16">
        <f t="shared" si="21"/>
        <v>0</v>
      </c>
      <c r="AS123" s="16"/>
      <c r="AT123" s="16">
        <f t="shared" si="22"/>
        <v>0</v>
      </c>
      <c r="AU123" s="16"/>
      <c r="AV123" s="16">
        <f t="shared" si="23"/>
        <v>0</v>
      </c>
      <c r="AW123" s="16"/>
      <c r="AX123" s="16">
        <f t="shared" si="3"/>
        <v>0</v>
      </c>
      <c r="AY123" s="16"/>
      <c r="AZ123" s="16">
        <f t="shared" si="24"/>
        <v>0</v>
      </c>
      <c r="BA123" s="16"/>
      <c r="BB123" s="16">
        <f t="shared" si="25"/>
        <v>0</v>
      </c>
      <c r="BC123" s="11">
        <f t="shared" si="26"/>
        <v>0</v>
      </c>
      <c r="BD123" s="17">
        <f>2000+2500+1500+1000+1400+2000+1000+2000+1000+500+500+2000+1000</f>
        <v>18400</v>
      </c>
      <c r="BE123" s="17">
        <f>+BD123*440.8</f>
        <v>8110720</v>
      </c>
      <c r="BF123" s="17"/>
      <c r="BG123" s="16">
        <f t="shared" si="5"/>
        <v>0</v>
      </c>
      <c r="BH123" s="17"/>
      <c r="BI123" s="17"/>
    </row>
    <row r="124" spans="1:61" ht="22.5">
      <c r="A124" s="38">
        <v>35985</v>
      </c>
      <c r="B124" s="39" t="s">
        <v>77</v>
      </c>
      <c r="C124" s="40" t="s">
        <v>535</v>
      </c>
      <c r="D124" s="40" t="s">
        <v>821</v>
      </c>
      <c r="E124" s="17"/>
      <c r="F124" s="16">
        <f t="shared" si="0"/>
        <v>0</v>
      </c>
      <c r="G124" s="17"/>
      <c r="H124" s="16">
        <f t="shared" si="1"/>
        <v>0</v>
      </c>
      <c r="I124" s="16"/>
      <c r="J124" s="16">
        <f t="shared" si="6"/>
        <v>0</v>
      </c>
      <c r="K124" s="16"/>
      <c r="L124" s="16">
        <f t="shared" si="7"/>
        <v>0</v>
      </c>
      <c r="M124" s="16"/>
      <c r="N124" s="16">
        <f t="shared" si="8"/>
        <v>0</v>
      </c>
      <c r="O124" s="16"/>
      <c r="P124" s="16">
        <f t="shared" si="9"/>
        <v>0</v>
      </c>
      <c r="Q124" s="16"/>
      <c r="R124" s="16">
        <f t="shared" si="10"/>
        <v>0</v>
      </c>
      <c r="S124" s="16"/>
      <c r="T124" s="16">
        <f t="shared" si="11"/>
        <v>0</v>
      </c>
      <c r="U124" s="16"/>
      <c r="V124" s="16">
        <f t="shared" si="12"/>
        <v>0</v>
      </c>
      <c r="W124" s="16"/>
      <c r="X124" s="16"/>
      <c r="Y124" s="16">
        <v>20</v>
      </c>
      <c r="Z124" s="16">
        <f t="shared" si="13"/>
        <v>117740</v>
      </c>
      <c r="AA124" s="16"/>
      <c r="AB124" s="16">
        <f t="shared" si="14"/>
        <v>0</v>
      </c>
      <c r="AC124" s="16"/>
      <c r="AD124" s="16">
        <f t="shared" si="15"/>
        <v>0</v>
      </c>
      <c r="AE124" s="16"/>
      <c r="AF124" s="16">
        <f t="shared" si="16"/>
        <v>0</v>
      </c>
      <c r="AG124" s="16"/>
      <c r="AH124" s="16">
        <f t="shared" si="17"/>
        <v>0</v>
      </c>
      <c r="AI124" s="16"/>
      <c r="AJ124" s="16">
        <f t="shared" si="18"/>
        <v>0</v>
      </c>
      <c r="AK124" s="16"/>
      <c r="AL124" s="16">
        <f t="shared" si="19"/>
        <v>0</v>
      </c>
      <c r="AM124" s="16"/>
      <c r="AN124" s="16">
        <f t="shared" si="2"/>
        <v>0</v>
      </c>
      <c r="AO124" s="16"/>
      <c r="AP124" s="16">
        <f t="shared" si="20"/>
        <v>0</v>
      </c>
      <c r="AQ124" s="16"/>
      <c r="AR124" s="16">
        <f t="shared" si="21"/>
        <v>0</v>
      </c>
      <c r="AS124" s="16"/>
      <c r="AT124" s="16">
        <f t="shared" si="22"/>
        <v>0</v>
      </c>
      <c r="AU124" s="16"/>
      <c r="AV124" s="16">
        <f t="shared" si="23"/>
        <v>0</v>
      </c>
      <c r="AW124" s="16"/>
      <c r="AX124" s="16">
        <f t="shared" si="3"/>
        <v>0</v>
      </c>
      <c r="AY124" s="16"/>
      <c r="AZ124" s="16">
        <f t="shared" si="24"/>
        <v>0</v>
      </c>
      <c r="BA124" s="16"/>
      <c r="BB124" s="16">
        <f t="shared" si="25"/>
        <v>0</v>
      </c>
      <c r="BC124" s="11">
        <f t="shared" si="26"/>
        <v>117740</v>
      </c>
      <c r="BD124" s="17"/>
      <c r="BE124" s="17"/>
      <c r="BF124" s="17">
        <v>1500</v>
      </c>
      <c r="BG124" s="16">
        <f t="shared" si="5"/>
        <v>34500000</v>
      </c>
      <c r="BH124" s="17"/>
      <c r="BI124" s="17"/>
    </row>
    <row r="125" spans="1:61" ht="22.5">
      <c r="A125" s="38">
        <v>35989</v>
      </c>
      <c r="B125" s="39" t="s">
        <v>39</v>
      </c>
      <c r="C125" s="40" t="s">
        <v>539</v>
      </c>
      <c r="D125" s="40" t="s">
        <v>911</v>
      </c>
      <c r="E125" s="17"/>
      <c r="F125" s="16">
        <f t="shared" si="0"/>
        <v>0</v>
      </c>
      <c r="G125" s="17"/>
      <c r="H125" s="16">
        <f t="shared" si="1"/>
        <v>0</v>
      </c>
      <c r="I125" s="16"/>
      <c r="J125" s="16">
        <f t="shared" si="6"/>
        <v>0</v>
      </c>
      <c r="K125" s="16"/>
      <c r="L125" s="16">
        <f t="shared" si="7"/>
        <v>0</v>
      </c>
      <c r="M125" s="16"/>
      <c r="N125" s="16">
        <f t="shared" si="8"/>
        <v>0</v>
      </c>
      <c r="O125" s="16"/>
      <c r="P125" s="16">
        <f t="shared" si="9"/>
        <v>0</v>
      </c>
      <c r="Q125" s="16"/>
      <c r="R125" s="16">
        <f t="shared" si="10"/>
        <v>0</v>
      </c>
      <c r="S125" s="16"/>
      <c r="T125" s="16">
        <f t="shared" si="11"/>
        <v>0</v>
      </c>
      <c r="U125" s="16"/>
      <c r="V125" s="16">
        <f t="shared" si="12"/>
        <v>0</v>
      </c>
      <c r="W125" s="16"/>
      <c r="X125" s="16"/>
      <c r="Y125" s="16"/>
      <c r="Z125" s="16">
        <f t="shared" si="13"/>
        <v>0</v>
      </c>
      <c r="AA125" s="16"/>
      <c r="AB125" s="16">
        <f t="shared" si="14"/>
        <v>0</v>
      </c>
      <c r="AC125" s="16"/>
      <c r="AD125" s="16">
        <f t="shared" si="15"/>
        <v>0</v>
      </c>
      <c r="AE125" s="16"/>
      <c r="AF125" s="16">
        <f t="shared" si="16"/>
        <v>0</v>
      </c>
      <c r="AG125" s="16"/>
      <c r="AH125" s="16">
        <f t="shared" si="17"/>
        <v>0</v>
      </c>
      <c r="AI125" s="16"/>
      <c r="AJ125" s="16">
        <f t="shared" si="18"/>
        <v>0</v>
      </c>
      <c r="AK125" s="16"/>
      <c r="AL125" s="16">
        <f t="shared" si="19"/>
        <v>0</v>
      </c>
      <c r="AM125" s="16"/>
      <c r="AN125" s="16">
        <f t="shared" si="2"/>
        <v>0</v>
      </c>
      <c r="AO125" s="16"/>
      <c r="AP125" s="16">
        <f t="shared" si="20"/>
        <v>0</v>
      </c>
      <c r="AQ125" s="16"/>
      <c r="AR125" s="16">
        <f t="shared" si="21"/>
        <v>0</v>
      </c>
      <c r="AS125" s="16"/>
      <c r="AT125" s="16">
        <f t="shared" si="22"/>
        <v>0</v>
      </c>
      <c r="AU125" s="16"/>
      <c r="AV125" s="16">
        <f t="shared" si="23"/>
        <v>0</v>
      </c>
      <c r="AW125" s="16"/>
      <c r="AX125" s="16">
        <f t="shared" si="3"/>
        <v>0</v>
      </c>
      <c r="AY125" s="16"/>
      <c r="AZ125" s="16">
        <f t="shared" si="24"/>
        <v>0</v>
      </c>
      <c r="BA125" s="16"/>
      <c r="BB125" s="16">
        <f t="shared" si="25"/>
        <v>0</v>
      </c>
      <c r="BC125" s="11">
        <f t="shared" si="26"/>
        <v>0</v>
      </c>
      <c r="BD125" s="17"/>
      <c r="BE125" s="17"/>
      <c r="BF125" s="17"/>
      <c r="BG125" s="16">
        <f t="shared" si="5"/>
        <v>0</v>
      </c>
      <c r="BH125" s="17">
        <v>150</v>
      </c>
      <c r="BI125" s="17">
        <f>150*5900*1.16</f>
        <v>1026599.9999999999</v>
      </c>
    </row>
    <row r="126" spans="1:61" ht="12.75">
      <c r="A126" s="38">
        <v>35989</v>
      </c>
      <c r="B126" s="39" t="s">
        <v>39</v>
      </c>
      <c r="C126" s="40" t="s">
        <v>540</v>
      </c>
      <c r="D126" s="40" t="s">
        <v>911</v>
      </c>
      <c r="E126" s="17"/>
      <c r="F126" s="16">
        <f t="shared" si="0"/>
        <v>0</v>
      </c>
      <c r="G126" s="17"/>
      <c r="H126" s="16">
        <f t="shared" si="1"/>
        <v>0</v>
      </c>
      <c r="I126" s="16"/>
      <c r="J126" s="16">
        <f t="shared" si="6"/>
        <v>0</v>
      </c>
      <c r="K126" s="16"/>
      <c r="L126" s="16">
        <f t="shared" si="7"/>
        <v>0</v>
      </c>
      <c r="M126" s="16"/>
      <c r="N126" s="16">
        <f t="shared" si="8"/>
        <v>0</v>
      </c>
      <c r="O126" s="16"/>
      <c r="P126" s="16">
        <f t="shared" si="9"/>
        <v>0</v>
      </c>
      <c r="Q126" s="16"/>
      <c r="R126" s="16">
        <f t="shared" si="10"/>
        <v>0</v>
      </c>
      <c r="S126" s="16"/>
      <c r="T126" s="16">
        <f t="shared" si="11"/>
        <v>0</v>
      </c>
      <c r="U126" s="16"/>
      <c r="V126" s="16">
        <f t="shared" si="12"/>
        <v>0</v>
      </c>
      <c r="W126" s="16"/>
      <c r="X126" s="16"/>
      <c r="Y126" s="16"/>
      <c r="Z126" s="16">
        <f t="shared" si="13"/>
        <v>0</v>
      </c>
      <c r="AA126" s="16"/>
      <c r="AB126" s="16">
        <f t="shared" si="14"/>
        <v>0</v>
      </c>
      <c r="AC126" s="16"/>
      <c r="AD126" s="16">
        <f t="shared" si="15"/>
        <v>0</v>
      </c>
      <c r="AE126" s="16"/>
      <c r="AF126" s="16">
        <f t="shared" si="16"/>
        <v>0</v>
      </c>
      <c r="AG126" s="16"/>
      <c r="AH126" s="16">
        <f t="shared" si="17"/>
        <v>0</v>
      </c>
      <c r="AI126" s="16"/>
      <c r="AJ126" s="16">
        <f t="shared" si="18"/>
        <v>0</v>
      </c>
      <c r="AK126" s="16"/>
      <c r="AL126" s="16">
        <f t="shared" si="19"/>
        <v>0</v>
      </c>
      <c r="AM126" s="16"/>
      <c r="AN126" s="16">
        <f t="shared" si="2"/>
        <v>0</v>
      </c>
      <c r="AO126" s="16"/>
      <c r="AP126" s="16">
        <f t="shared" si="20"/>
        <v>0</v>
      </c>
      <c r="AQ126" s="16"/>
      <c r="AR126" s="16">
        <f t="shared" si="21"/>
        <v>0</v>
      </c>
      <c r="AS126" s="16"/>
      <c r="AT126" s="16">
        <f t="shared" si="22"/>
        <v>0</v>
      </c>
      <c r="AU126" s="16"/>
      <c r="AV126" s="16">
        <f t="shared" si="23"/>
        <v>0</v>
      </c>
      <c r="AW126" s="16"/>
      <c r="AX126" s="16">
        <f t="shared" si="3"/>
        <v>0</v>
      </c>
      <c r="AY126" s="16"/>
      <c r="AZ126" s="16">
        <f t="shared" si="24"/>
        <v>0</v>
      </c>
      <c r="BA126" s="16"/>
      <c r="BB126" s="16">
        <f t="shared" si="25"/>
        <v>0</v>
      </c>
      <c r="BC126" s="11">
        <f t="shared" si="26"/>
        <v>0</v>
      </c>
      <c r="BD126" s="17"/>
      <c r="BE126" s="17"/>
      <c r="BF126" s="17"/>
      <c r="BG126" s="16">
        <f t="shared" si="5"/>
        <v>0</v>
      </c>
      <c r="BH126" s="17">
        <v>150</v>
      </c>
      <c r="BI126" s="17">
        <f>150*5900*1.16</f>
        <v>1026599.9999999999</v>
      </c>
    </row>
    <row r="127" spans="1:61" ht="12.75">
      <c r="A127" s="38">
        <v>35989</v>
      </c>
      <c r="B127" s="39" t="s">
        <v>310</v>
      </c>
      <c r="C127" s="40" t="s">
        <v>541</v>
      </c>
      <c r="D127" s="40" t="s">
        <v>821</v>
      </c>
      <c r="E127" s="17"/>
      <c r="F127" s="16">
        <f t="shared" si="0"/>
        <v>0</v>
      </c>
      <c r="G127" s="17"/>
      <c r="H127" s="16">
        <f t="shared" si="1"/>
        <v>0</v>
      </c>
      <c r="I127" s="16">
        <v>240</v>
      </c>
      <c r="J127" s="16">
        <f t="shared" si="6"/>
        <v>1002240</v>
      </c>
      <c r="K127" s="16"/>
      <c r="L127" s="16">
        <f t="shared" si="7"/>
        <v>0</v>
      </c>
      <c r="M127" s="16"/>
      <c r="N127" s="16">
        <f t="shared" si="8"/>
        <v>0</v>
      </c>
      <c r="O127" s="16"/>
      <c r="P127" s="16">
        <f t="shared" si="9"/>
        <v>0</v>
      </c>
      <c r="Q127" s="16"/>
      <c r="R127" s="16">
        <f t="shared" si="10"/>
        <v>0</v>
      </c>
      <c r="S127" s="16"/>
      <c r="T127" s="16">
        <f t="shared" si="11"/>
        <v>0</v>
      </c>
      <c r="U127" s="16"/>
      <c r="V127" s="16">
        <f t="shared" si="12"/>
        <v>0</v>
      </c>
      <c r="W127" s="16"/>
      <c r="X127" s="16"/>
      <c r="Y127" s="16">
        <v>480</v>
      </c>
      <c r="Z127" s="16">
        <f t="shared" si="13"/>
        <v>2825760</v>
      </c>
      <c r="AA127" s="16"/>
      <c r="AB127" s="16">
        <f t="shared" si="14"/>
        <v>0</v>
      </c>
      <c r="AC127" s="16"/>
      <c r="AD127" s="16">
        <f t="shared" si="15"/>
        <v>0</v>
      </c>
      <c r="AE127" s="16"/>
      <c r="AF127" s="16">
        <f t="shared" si="16"/>
        <v>0</v>
      </c>
      <c r="AG127" s="16">
        <v>240</v>
      </c>
      <c r="AH127" s="16">
        <f t="shared" si="17"/>
        <v>1591612.8</v>
      </c>
      <c r="AI127" s="16"/>
      <c r="AJ127" s="16">
        <f t="shared" si="18"/>
        <v>0</v>
      </c>
      <c r="AK127" s="16"/>
      <c r="AL127" s="16">
        <f t="shared" si="19"/>
        <v>0</v>
      </c>
      <c r="AM127" s="16">
        <v>30</v>
      </c>
      <c r="AN127" s="16">
        <f t="shared" si="2"/>
        <v>7650519.3</v>
      </c>
      <c r="AO127" s="16">
        <v>720</v>
      </c>
      <c r="AP127" s="16">
        <f t="shared" si="20"/>
        <v>196272.00000000003</v>
      </c>
      <c r="AQ127" s="16"/>
      <c r="AR127" s="16">
        <f t="shared" si="21"/>
        <v>0</v>
      </c>
      <c r="AS127" s="16">
        <v>720</v>
      </c>
      <c r="AT127" s="16">
        <f t="shared" si="22"/>
        <v>233136</v>
      </c>
      <c r="AU127" s="16"/>
      <c r="AV127" s="16">
        <f t="shared" si="23"/>
        <v>0</v>
      </c>
      <c r="AW127" s="16">
        <v>720</v>
      </c>
      <c r="AX127" s="16">
        <f t="shared" si="3"/>
        <v>4566333.6</v>
      </c>
      <c r="AY127" s="16">
        <v>720</v>
      </c>
      <c r="AZ127" s="16">
        <f t="shared" si="24"/>
        <v>2325261.6</v>
      </c>
      <c r="BA127" s="16">
        <v>720</v>
      </c>
      <c r="BB127" s="16">
        <f t="shared" si="25"/>
        <v>5141858.4</v>
      </c>
      <c r="BC127" s="11">
        <f t="shared" si="26"/>
        <v>25532993.700000003</v>
      </c>
      <c r="BD127" s="17"/>
      <c r="BE127" s="17"/>
      <c r="BF127" s="17">
        <v>240</v>
      </c>
      <c r="BG127" s="16">
        <f t="shared" si="5"/>
        <v>5520000</v>
      </c>
      <c r="BH127" s="17"/>
      <c r="BI127" s="17"/>
    </row>
    <row r="128" spans="1:61" ht="12.75">
      <c r="A128" s="38">
        <v>35983</v>
      </c>
      <c r="B128" s="39" t="s">
        <v>310</v>
      </c>
      <c r="C128" s="40" t="s">
        <v>543</v>
      </c>
      <c r="D128" s="40" t="s">
        <v>821</v>
      </c>
      <c r="E128" s="17"/>
      <c r="F128" s="16">
        <f t="shared" si="0"/>
        <v>0</v>
      </c>
      <c r="G128" s="17"/>
      <c r="H128" s="16">
        <f t="shared" si="1"/>
        <v>0</v>
      </c>
      <c r="I128" s="16">
        <v>120</v>
      </c>
      <c r="J128" s="16">
        <f t="shared" si="6"/>
        <v>501120</v>
      </c>
      <c r="K128" s="16"/>
      <c r="L128" s="16">
        <f t="shared" si="7"/>
        <v>0</v>
      </c>
      <c r="M128" s="16"/>
      <c r="N128" s="16">
        <f t="shared" si="8"/>
        <v>0</v>
      </c>
      <c r="O128" s="16"/>
      <c r="P128" s="16">
        <f t="shared" si="9"/>
        <v>0</v>
      </c>
      <c r="Q128" s="16"/>
      <c r="R128" s="16">
        <f t="shared" si="10"/>
        <v>0</v>
      </c>
      <c r="S128" s="16"/>
      <c r="T128" s="16">
        <f t="shared" si="11"/>
        <v>0</v>
      </c>
      <c r="U128" s="16"/>
      <c r="V128" s="16">
        <f t="shared" si="12"/>
        <v>0</v>
      </c>
      <c r="W128" s="16"/>
      <c r="X128" s="16"/>
      <c r="Y128" s="16">
        <v>240</v>
      </c>
      <c r="Z128" s="16">
        <f t="shared" si="13"/>
        <v>1412880</v>
      </c>
      <c r="AA128" s="16"/>
      <c r="AB128" s="16">
        <f t="shared" si="14"/>
        <v>0</v>
      </c>
      <c r="AC128" s="16"/>
      <c r="AD128" s="16">
        <f t="shared" si="15"/>
        <v>0</v>
      </c>
      <c r="AE128" s="16"/>
      <c r="AF128" s="16">
        <f t="shared" si="16"/>
        <v>0</v>
      </c>
      <c r="AG128" s="16">
        <v>120</v>
      </c>
      <c r="AH128" s="16">
        <f t="shared" si="17"/>
        <v>795806.4</v>
      </c>
      <c r="AI128" s="16"/>
      <c r="AJ128" s="16">
        <f t="shared" si="18"/>
        <v>0</v>
      </c>
      <c r="AK128" s="16"/>
      <c r="AL128" s="16">
        <f t="shared" si="19"/>
        <v>0</v>
      </c>
      <c r="AM128" s="16">
        <v>15</v>
      </c>
      <c r="AN128" s="16">
        <f t="shared" si="2"/>
        <v>3825259.65</v>
      </c>
      <c r="AO128" s="16">
        <v>360</v>
      </c>
      <c r="AP128" s="16">
        <f t="shared" si="20"/>
        <v>98136.00000000001</v>
      </c>
      <c r="AQ128" s="16"/>
      <c r="AR128" s="16">
        <f t="shared" si="21"/>
        <v>0</v>
      </c>
      <c r="AS128" s="16">
        <v>360</v>
      </c>
      <c r="AT128" s="16">
        <f t="shared" si="22"/>
        <v>116568</v>
      </c>
      <c r="AU128" s="16"/>
      <c r="AV128" s="16">
        <f t="shared" si="23"/>
        <v>0</v>
      </c>
      <c r="AW128" s="16">
        <v>360</v>
      </c>
      <c r="AX128" s="16">
        <f t="shared" si="3"/>
        <v>2283166.8</v>
      </c>
      <c r="AY128" s="16">
        <v>360</v>
      </c>
      <c r="AZ128" s="16">
        <f t="shared" si="24"/>
        <v>1162630.8</v>
      </c>
      <c r="BA128" s="16">
        <v>360</v>
      </c>
      <c r="BB128" s="16">
        <f t="shared" si="25"/>
        <v>2570929.2</v>
      </c>
      <c r="BC128" s="11">
        <f t="shared" si="26"/>
        <v>12766496.850000001</v>
      </c>
      <c r="BD128" s="17"/>
      <c r="BE128" s="17"/>
      <c r="BF128" s="17">
        <v>120</v>
      </c>
      <c r="BG128" s="16">
        <f t="shared" si="5"/>
        <v>2760000</v>
      </c>
      <c r="BH128" s="17"/>
      <c r="BI128" s="17"/>
    </row>
    <row r="129" spans="1:61" ht="22.5">
      <c r="A129" s="38">
        <v>35983</v>
      </c>
      <c r="B129" s="39" t="s">
        <v>310</v>
      </c>
      <c r="C129" s="40" t="s">
        <v>544</v>
      </c>
      <c r="D129" s="40" t="s">
        <v>821</v>
      </c>
      <c r="E129" s="17">
        <v>120</v>
      </c>
      <c r="F129" s="16">
        <f t="shared" si="0"/>
        <v>41760</v>
      </c>
      <c r="G129" s="17">
        <v>60</v>
      </c>
      <c r="H129" s="16">
        <f t="shared" si="1"/>
        <v>17748</v>
      </c>
      <c r="I129" s="16">
        <v>60</v>
      </c>
      <c r="J129" s="16">
        <f t="shared" si="6"/>
        <v>250560</v>
      </c>
      <c r="K129" s="16"/>
      <c r="L129" s="16">
        <f t="shared" si="7"/>
        <v>0</v>
      </c>
      <c r="M129" s="16"/>
      <c r="N129" s="16">
        <f t="shared" si="8"/>
        <v>0</v>
      </c>
      <c r="O129" s="16"/>
      <c r="P129" s="16">
        <f t="shared" si="9"/>
        <v>0</v>
      </c>
      <c r="Q129" s="16"/>
      <c r="R129" s="16">
        <f t="shared" si="10"/>
        <v>0</v>
      </c>
      <c r="S129" s="16">
        <v>60</v>
      </c>
      <c r="T129" s="16">
        <f t="shared" si="11"/>
        <v>113100</v>
      </c>
      <c r="U129" s="16"/>
      <c r="V129" s="16">
        <f t="shared" si="12"/>
        <v>0</v>
      </c>
      <c r="W129" s="16"/>
      <c r="X129" s="16"/>
      <c r="Y129" s="16">
        <v>120</v>
      </c>
      <c r="Z129" s="16">
        <f t="shared" si="13"/>
        <v>706440</v>
      </c>
      <c r="AA129" s="16"/>
      <c r="AB129" s="16">
        <f t="shared" si="14"/>
        <v>0</v>
      </c>
      <c r="AC129" s="16">
        <v>60</v>
      </c>
      <c r="AD129" s="16">
        <f t="shared" si="15"/>
        <v>37584</v>
      </c>
      <c r="AE129" s="16"/>
      <c r="AF129" s="16">
        <f t="shared" si="16"/>
        <v>0</v>
      </c>
      <c r="AG129" s="16">
        <v>60</v>
      </c>
      <c r="AH129" s="16">
        <f t="shared" si="17"/>
        <v>397903.2</v>
      </c>
      <c r="AI129" s="16"/>
      <c r="AJ129" s="16">
        <f t="shared" si="18"/>
        <v>0</v>
      </c>
      <c r="AK129" s="16"/>
      <c r="AL129" s="16">
        <f t="shared" si="19"/>
        <v>0</v>
      </c>
      <c r="AM129" s="16"/>
      <c r="AN129" s="16">
        <f t="shared" si="2"/>
        <v>0</v>
      </c>
      <c r="AO129" s="16">
        <v>180</v>
      </c>
      <c r="AP129" s="16">
        <f t="shared" si="20"/>
        <v>49068.00000000001</v>
      </c>
      <c r="AQ129" s="16"/>
      <c r="AR129" s="16">
        <f t="shared" si="21"/>
        <v>0</v>
      </c>
      <c r="AS129" s="16">
        <v>180</v>
      </c>
      <c r="AT129" s="16">
        <f t="shared" si="22"/>
        <v>58284</v>
      </c>
      <c r="AU129" s="16"/>
      <c r="AV129" s="16">
        <f t="shared" si="23"/>
        <v>0</v>
      </c>
      <c r="AW129" s="16">
        <v>180</v>
      </c>
      <c r="AX129" s="16">
        <f t="shared" si="3"/>
        <v>1141583.4</v>
      </c>
      <c r="AY129" s="16">
        <v>180</v>
      </c>
      <c r="AZ129" s="16">
        <f t="shared" si="24"/>
        <v>581315.4</v>
      </c>
      <c r="BA129" s="16">
        <v>180</v>
      </c>
      <c r="BB129" s="16">
        <f t="shared" si="25"/>
        <v>1285464.6</v>
      </c>
      <c r="BC129" s="11">
        <f t="shared" si="26"/>
        <v>4680810.6</v>
      </c>
      <c r="BD129" s="17"/>
      <c r="BE129" s="17"/>
      <c r="BF129" s="17">
        <v>60</v>
      </c>
      <c r="BG129" s="16">
        <f t="shared" si="5"/>
        <v>1380000</v>
      </c>
      <c r="BH129" s="17"/>
      <c r="BI129" s="17"/>
    </row>
    <row r="130" spans="1:61" ht="12.75">
      <c r="A130" s="38">
        <v>35983</v>
      </c>
      <c r="B130" s="39" t="s">
        <v>310</v>
      </c>
      <c r="C130" s="40" t="s">
        <v>545</v>
      </c>
      <c r="D130" s="40" t="s">
        <v>821</v>
      </c>
      <c r="E130" s="17">
        <v>100</v>
      </c>
      <c r="F130" s="16">
        <f t="shared" si="0"/>
        <v>34800</v>
      </c>
      <c r="G130" s="17">
        <v>50</v>
      </c>
      <c r="H130" s="16">
        <f t="shared" si="1"/>
        <v>14790</v>
      </c>
      <c r="I130" s="16">
        <v>50</v>
      </c>
      <c r="J130" s="16">
        <f t="shared" si="6"/>
        <v>208800</v>
      </c>
      <c r="K130" s="16"/>
      <c r="L130" s="16">
        <f t="shared" si="7"/>
        <v>0</v>
      </c>
      <c r="M130" s="16"/>
      <c r="N130" s="16">
        <f t="shared" si="8"/>
        <v>0</v>
      </c>
      <c r="O130" s="16"/>
      <c r="P130" s="16">
        <f t="shared" si="9"/>
        <v>0</v>
      </c>
      <c r="Q130" s="16"/>
      <c r="R130" s="16">
        <f t="shared" si="10"/>
        <v>0</v>
      </c>
      <c r="S130" s="16">
        <v>50</v>
      </c>
      <c r="T130" s="16">
        <f t="shared" si="11"/>
        <v>94250</v>
      </c>
      <c r="U130" s="16"/>
      <c r="V130" s="16">
        <f t="shared" si="12"/>
        <v>0</v>
      </c>
      <c r="W130" s="16"/>
      <c r="X130" s="16"/>
      <c r="Y130" s="16">
        <v>100</v>
      </c>
      <c r="Z130" s="16">
        <f t="shared" si="13"/>
        <v>588700</v>
      </c>
      <c r="AA130" s="16"/>
      <c r="AB130" s="16">
        <f t="shared" si="14"/>
        <v>0</v>
      </c>
      <c r="AC130" s="16">
        <v>50</v>
      </c>
      <c r="AD130" s="16">
        <f t="shared" si="15"/>
        <v>31320</v>
      </c>
      <c r="AE130" s="16"/>
      <c r="AF130" s="16">
        <f t="shared" si="16"/>
        <v>0</v>
      </c>
      <c r="AG130" s="16">
        <v>50</v>
      </c>
      <c r="AH130" s="16">
        <f t="shared" si="17"/>
        <v>331586</v>
      </c>
      <c r="AI130" s="16"/>
      <c r="AJ130" s="16">
        <f t="shared" si="18"/>
        <v>0</v>
      </c>
      <c r="AK130" s="16"/>
      <c r="AL130" s="16">
        <f t="shared" si="19"/>
        <v>0</v>
      </c>
      <c r="AM130" s="16">
        <v>6</v>
      </c>
      <c r="AN130" s="16">
        <f t="shared" si="2"/>
        <v>1530103.8599999999</v>
      </c>
      <c r="AO130" s="16">
        <v>150</v>
      </c>
      <c r="AP130" s="16">
        <f t="shared" si="20"/>
        <v>40890</v>
      </c>
      <c r="AQ130" s="16"/>
      <c r="AR130" s="16">
        <f t="shared" si="21"/>
        <v>0</v>
      </c>
      <c r="AS130" s="16">
        <v>150</v>
      </c>
      <c r="AT130" s="16">
        <f t="shared" si="22"/>
        <v>48570</v>
      </c>
      <c r="AU130" s="16"/>
      <c r="AV130" s="16">
        <f t="shared" si="23"/>
        <v>0</v>
      </c>
      <c r="AW130" s="16">
        <v>150</v>
      </c>
      <c r="AX130" s="16">
        <f t="shared" si="3"/>
        <v>951319.5</v>
      </c>
      <c r="AY130" s="16">
        <v>150</v>
      </c>
      <c r="AZ130" s="16">
        <f t="shared" si="24"/>
        <v>484429.50000000006</v>
      </c>
      <c r="BA130" s="16">
        <v>150</v>
      </c>
      <c r="BB130" s="16">
        <f t="shared" si="25"/>
        <v>1071220.5</v>
      </c>
      <c r="BC130" s="11">
        <f t="shared" si="26"/>
        <v>5430779.36</v>
      </c>
      <c r="BD130" s="17"/>
      <c r="BE130" s="17"/>
      <c r="BF130" s="17">
        <v>50</v>
      </c>
      <c r="BG130" s="16">
        <f t="shared" si="5"/>
        <v>1150000</v>
      </c>
      <c r="BH130" s="17"/>
      <c r="BI130" s="17"/>
    </row>
    <row r="131" spans="1:61" ht="12.75">
      <c r="A131" s="38">
        <v>35983</v>
      </c>
      <c r="B131" s="39" t="s">
        <v>310</v>
      </c>
      <c r="C131" s="40" t="s">
        <v>546</v>
      </c>
      <c r="D131" s="40" t="s">
        <v>821</v>
      </c>
      <c r="E131" s="17"/>
      <c r="F131" s="16">
        <f t="shared" si="0"/>
        <v>0</v>
      </c>
      <c r="G131" s="17"/>
      <c r="H131" s="16">
        <f t="shared" si="1"/>
        <v>0</v>
      </c>
      <c r="I131" s="16"/>
      <c r="J131" s="16">
        <f t="shared" si="6"/>
        <v>0</v>
      </c>
      <c r="K131" s="16"/>
      <c r="L131" s="16">
        <f t="shared" si="7"/>
        <v>0</v>
      </c>
      <c r="M131" s="16"/>
      <c r="N131" s="16">
        <f t="shared" si="8"/>
        <v>0</v>
      </c>
      <c r="O131" s="16"/>
      <c r="P131" s="16">
        <f t="shared" si="9"/>
        <v>0</v>
      </c>
      <c r="Q131" s="16"/>
      <c r="R131" s="16">
        <f t="shared" si="10"/>
        <v>0</v>
      </c>
      <c r="S131" s="16"/>
      <c r="T131" s="16">
        <f t="shared" si="11"/>
        <v>0</v>
      </c>
      <c r="U131" s="16"/>
      <c r="V131" s="16">
        <f t="shared" si="12"/>
        <v>0</v>
      </c>
      <c r="W131" s="16"/>
      <c r="X131" s="16"/>
      <c r="Y131" s="16">
        <v>100</v>
      </c>
      <c r="Z131" s="16">
        <f t="shared" si="13"/>
        <v>588700</v>
      </c>
      <c r="AA131" s="16"/>
      <c r="AB131" s="16">
        <f t="shared" si="14"/>
        <v>0</v>
      </c>
      <c r="AC131" s="16"/>
      <c r="AD131" s="16">
        <f t="shared" si="15"/>
        <v>0</v>
      </c>
      <c r="AE131" s="16"/>
      <c r="AF131" s="16">
        <f t="shared" si="16"/>
        <v>0</v>
      </c>
      <c r="AG131" s="16"/>
      <c r="AH131" s="16">
        <f t="shared" si="17"/>
        <v>0</v>
      </c>
      <c r="AI131" s="16"/>
      <c r="AJ131" s="16">
        <f t="shared" si="18"/>
        <v>0</v>
      </c>
      <c r="AK131" s="16"/>
      <c r="AL131" s="16">
        <f t="shared" si="19"/>
        <v>0</v>
      </c>
      <c r="AM131" s="16"/>
      <c r="AN131" s="16">
        <f t="shared" si="2"/>
        <v>0</v>
      </c>
      <c r="AO131" s="16"/>
      <c r="AP131" s="16">
        <f t="shared" si="20"/>
        <v>0</v>
      </c>
      <c r="AQ131" s="16"/>
      <c r="AR131" s="16">
        <f t="shared" si="21"/>
        <v>0</v>
      </c>
      <c r="AS131" s="16"/>
      <c r="AT131" s="16">
        <f t="shared" si="22"/>
        <v>0</v>
      </c>
      <c r="AU131" s="16"/>
      <c r="AV131" s="16">
        <f t="shared" si="23"/>
        <v>0</v>
      </c>
      <c r="AW131" s="16">
        <v>150</v>
      </c>
      <c r="AX131" s="16">
        <f t="shared" si="3"/>
        <v>951319.5</v>
      </c>
      <c r="AY131" s="16"/>
      <c r="AZ131" s="16">
        <f t="shared" si="24"/>
        <v>0</v>
      </c>
      <c r="BA131" s="16"/>
      <c r="BB131" s="16">
        <f t="shared" si="25"/>
        <v>0</v>
      </c>
      <c r="BC131" s="11">
        <f t="shared" si="26"/>
        <v>1540019.5</v>
      </c>
      <c r="BD131" s="17"/>
      <c r="BE131" s="17"/>
      <c r="BF131" s="17">
        <v>50</v>
      </c>
      <c r="BG131" s="16">
        <f t="shared" si="5"/>
        <v>1150000</v>
      </c>
      <c r="BH131" s="17"/>
      <c r="BI131" s="17"/>
    </row>
    <row r="132" spans="1:61" ht="12.75">
      <c r="A132" s="38">
        <v>35983</v>
      </c>
      <c r="B132" s="39" t="s">
        <v>310</v>
      </c>
      <c r="C132" s="40" t="s">
        <v>548</v>
      </c>
      <c r="D132" s="40" t="s">
        <v>821</v>
      </c>
      <c r="E132" s="17">
        <v>180</v>
      </c>
      <c r="F132" s="16">
        <f t="shared" si="0"/>
        <v>62640</v>
      </c>
      <c r="G132" s="17">
        <v>90</v>
      </c>
      <c r="H132" s="16">
        <f t="shared" si="1"/>
        <v>26622</v>
      </c>
      <c r="I132" s="16">
        <v>90</v>
      </c>
      <c r="J132" s="16">
        <f t="shared" si="6"/>
        <v>375840</v>
      </c>
      <c r="K132" s="16"/>
      <c r="L132" s="16">
        <f t="shared" si="7"/>
        <v>0</v>
      </c>
      <c r="M132" s="16"/>
      <c r="N132" s="16">
        <f t="shared" si="8"/>
        <v>0</v>
      </c>
      <c r="O132" s="16"/>
      <c r="P132" s="16">
        <f t="shared" si="9"/>
        <v>0</v>
      </c>
      <c r="Q132" s="16"/>
      <c r="R132" s="16">
        <f t="shared" si="10"/>
        <v>0</v>
      </c>
      <c r="S132" s="16">
        <v>90</v>
      </c>
      <c r="T132" s="16">
        <f t="shared" si="11"/>
        <v>169650</v>
      </c>
      <c r="U132" s="16"/>
      <c r="V132" s="16">
        <f t="shared" si="12"/>
        <v>0</v>
      </c>
      <c r="W132" s="16"/>
      <c r="X132" s="16"/>
      <c r="Y132" s="16">
        <v>180</v>
      </c>
      <c r="Z132" s="16">
        <f t="shared" si="13"/>
        <v>1059660</v>
      </c>
      <c r="AA132" s="16"/>
      <c r="AB132" s="16">
        <f t="shared" si="14"/>
        <v>0</v>
      </c>
      <c r="AC132" s="16">
        <v>90</v>
      </c>
      <c r="AD132" s="16">
        <f t="shared" si="15"/>
        <v>56376</v>
      </c>
      <c r="AE132" s="16"/>
      <c r="AF132" s="16">
        <f t="shared" si="16"/>
        <v>0</v>
      </c>
      <c r="AG132" s="16">
        <v>90</v>
      </c>
      <c r="AH132" s="16">
        <f t="shared" si="17"/>
        <v>596854.8</v>
      </c>
      <c r="AI132" s="16"/>
      <c r="AJ132" s="16">
        <f t="shared" si="18"/>
        <v>0</v>
      </c>
      <c r="AK132" s="16"/>
      <c r="AL132" s="16">
        <f t="shared" si="19"/>
        <v>0</v>
      </c>
      <c r="AM132" s="16">
        <v>11</v>
      </c>
      <c r="AN132" s="16">
        <f t="shared" si="2"/>
        <v>2805190.41</v>
      </c>
      <c r="AO132" s="16">
        <v>270</v>
      </c>
      <c r="AP132" s="16">
        <f t="shared" si="20"/>
        <v>73602</v>
      </c>
      <c r="AQ132" s="16"/>
      <c r="AR132" s="16">
        <f t="shared" si="21"/>
        <v>0</v>
      </c>
      <c r="AS132" s="16">
        <v>270</v>
      </c>
      <c r="AT132" s="16">
        <f t="shared" si="22"/>
        <v>87426</v>
      </c>
      <c r="AU132" s="16"/>
      <c r="AV132" s="16">
        <f t="shared" si="23"/>
        <v>0</v>
      </c>
      <c r="AW132" s="16">
        <v>270</v>
      </c>
      <c r="AX132" s="16">
        <f t="shared" si="3"/>
        <v>1712375.1</v>
      </c>
      <c r="AY132" s="16">
        <v>270</v>
      </c>
      <c r="AZ132" s="16">
        <f t="shared" si="24"/>
        <v>871973.1000000001</v>
      </c>
      <c r="BA132" s="16">
        <v>270</v>
      </c>
      <c r="BB132" s="16">
        <f t="shared" si="25"/>
        <v>1928196.9000000001</v>
      </c>
      <c r="BC132" s="11">
        <f t="shared" si="26"/>
        <v>9826406.31</v>
      </c>
      <c r="BD132" s="17"/>
      <c r="BE132" s="17"/>
      <c r="BF132" s="17">
        <v>90</v>
      </c>
      <c r="BG132" s="16">
        <f t="shared" si="5"/>
        <v>2070000</v>
      </c>
      <c r="BH132" s="17"/>
      <c r="BI132" s="17"/>
    </row>
    <row r="133" spans="1:61" ht="12.75">
      <c r="A133" s="38">
        <v>36014</v>
      </c>
      <c r="B133" s="39" t="s">
        <v>310</v>
      </c>
      <c r="C133" s="40" t="s">
        <v>553</v>
      </c>
      <c r="D133" s="40" t="s">
        <v>821</v>
      </c>
      <c r="E133" s="17"/>
      <c r="F133" s="16">
        <f t="shared" si="0"/>
        <v>0</v>
      </c>
      <c r="G133" s="17"/>
      <c r="H133" s="16">
        <f t="shared" si="1"/>
        <v>0</v>
      </c>
      <c r="I133" s="16"/>
      <c r="J133" s="16">
        <f t="shared" si="6"/>
        <v>0</v>
      </c>
      <c r="K133" s="16"/>
      <c r="L133" s="16">
        <f t="shared" si="7"/>
        <v>0</v>
      </c>
      <c r="M133" s="16"/>
      <c r="N133" s="16">
        <f t="shared" si="8"/>
        <v>0</v>
      </c>
      <c r="O133" s="16"/>
      <c r="P133" s="16">
        <f t="shared" si="9"/>
        <v>0</v>
      </c>
      <c r="Q133" s="16"/>
      <c r="R133" s="16">
        <f t="shared" si="10"/>
        <v>0</v>
      </c>
      <c r="S133" s="16"/>
      <c r="T133" s="16">
        <f t="shared" si="11"/>
        <v>0</v>
      </c>
      <c r="U133" s="16"/>
      <c r="V133" s="16">
        <f t="shared" si="12"/>
        <v>0</v>
      </c>
      <c r="W133" s="16"/>
      <c r="X133" s="16"/>
      <c r="Y133" s="16">
        <v>80</v>
      </c>
      <c r="Z133" s="16">
        <f t="shared" si="13"/>
        <v>470960</v>
      </c>
      <c r="AA133" s="16"/>
      <c r="AB133" s="16">
        <f t="shared" si="14"/>
        <v>0</v>
      </c>
      <c r="AC133" s="16"/>
      <c r="AD133" s="16">
        <f t="shared" si="15"/>
        <v>0</v>
      </c>
      <c r="AE133" s="16"/>
      <c r="AF133" s="16">
        <f t="shared" si="16"/>
        <v>0</v>
      </c>
      <c r="AG133" s="16"/>
      <c r="AH133" s="16">
        <f t="shared" si="17"/>
        <v>0</v>
      </c>
      <c r="AI133" s="16"/>
      <c r="AJ133" s="16">
        <f t="shared" si="18"/>
        <v>0</v>
      </c>
      <c r="AK133" s="16"/>
      <c r="AL133" s="16">
        <f t="shared" si="19"/>
        <v>0</v>
      </c>
      <c r="AM133" s="16"/>
      <c r="AN133" s="16">
        <f t="shared" si="2"/>
        <v>0</v>
      </c>
      <c r="AO133" s="16"/>
      <c r="AP133" s="16">
        <f t="shared" si="20"/>
        <v>0</v>
      </c>
      <c r="AQ133" s="16"/>
      <c r="AR133" s="16">
        <f t="shared" si="21"/>
        <v>0</v>
      </c>
      <c r="AS133" s="16"/>
      <c r="AT133" s="16">
        <f t="shared" si="22"/>
        <v>0</v>
      </c>
      <c r="AU133" s="16"/>
      <c r="AV133" s="16">
        <f t="shared" si="23"/>
        <v>0</v>
      </c>
      <c r="AW133" s="16">
        <v>160</v>
      </c>
      <c r="AX133" s="16">
        <f t="shared" si="3"/>
        <v>1014740.8</v>
      </c>
      <c r="AY133" s="16"/>
      <c r="AZ133" s="16">
        <f t="shared" si="24"/>
        <v>0</v>
      </c>
      <c r="BA133" s="16"/>
      <c r="BB133" s="16">
        <f t="shared" si="25"/>
        <v>0</v>
      </c>
      <c r="BC133" s="11">
        <f aca="true" t="shared" si="28" ref="BC133:BC196">SUM(F133+H133+J133+L133+N133+P133+R133+T133+V133+X133+Z133+AB133+AD133+AF133+AH133+AJ133+AL133+AN133+AP133+AR133+AT133+AV133+AX133+AZ133+BB133)</f>
        <v>1485700.8</v>
      </c>
      <c r="BD133" s="17"/>
      <c r="BE133" s="17"/>
      <c r="BF133" s="17">
        <v>40</v>
      </c>
      <c r="BG133" s="16">
        <f t="shared" si="5"/>
        <v>920000</v>
      </c>
      <c r="BH133" s="17"/>
      <c r="BI133" s="17"/>
    </row>
    <row r="134" spans="1:61" ht="12.75">
      <c r="A134" s="38">
        <v>35983</v>
      </c>
      <c r="B134" s="39" t="s">
        <v>310</v>
      </c>
      <c r="C134" s="40" t="s">
        <v>555</v>
      </c>
      <c r="D134" s="40" t="s">
        <v>821</v>
      </c>
      <c r="E134" s="17"/>
      <c r="F134" s="16">
        <f t="shared" si="0"/>
        <v>0</v>
      </c>
      <c r="G134" s="17"/>
      <c r="H134" s="16">
        <f t="shared" si="1"/>
        <v>0</v>
      </c>
      <c r="I134" s="16">
        <v>50</v>
      </c>
      <c r="J134" s="16">
        <f t="shared" si="6"/>
        <v>208800</v>
      </c>
      <c r="K134" s="16"/>
      <c r="L134" s="16">
        <f t="shared" si="7"/>
        <v>0</v>
      </c>
      <c r="M134" s="16"/>
      <c r="N134" s="16">
        <f t="shared" si="8"/>
        <v>0</v>
      </c>
      <c r="O134" s="16"/>
      <c r="P134" s="16">
        <f t="shared" si="9"/>
        <v>0</v>
      </c>
      <c r="Q134" s="16"/>
      <c r="R134" s="16">
        <f t="shared" si="10"/>
        <v>0</v>
      </c>
      <c r="S134" s="16"/>
      <c r="T134" s="16">
        <f t="shared" si="11"/>
        <v>0</v>
      </c>
      <c r="U134" s="16"/>
      <c r="V134" s="16">
        <f t="shared" si="12"/>
        <v>0</v>
      </c>
      <c r="W134" s="16"/>
      <c r="X134" s="16"/>
      <c r="Y134" s="16">
        <v>100</v>
      </c>
      <c r="Z134" s="16">
        <f t="shared" si="13"/>
        <v>588700</v>
      </c>
      <c r="AA134" s="16"/>
      <c r="AB134" s="16">
        <f t="shared" si="14"/>
        <v>0</v>
      </c>
      <c r="AC134" s="16"/>
      <c r="AD134" s="16">
        <f t="shared" si="15"/>
        <v>0</v>
      </c>
      <c r="AE134" s="16"/>
      <c r="AF134" s="16">
        <f t="shared" si="16"/>
        <v>0</v>
      </c>
      <c r="AG134" s="16">
        <v>50</v>
      </c>
      <c r="AH134" s="16">
        <f t="shared" si="17"/>
        <v>331586</v>
      </c>
      <c r="AI134" s="16"/>
      <c r="AJ134" s="16">
        <f t="shared" si="18"/>
        <v>0</v>
      </c>
      <c r="AK134" s="16"/>
      <c r="AL134" s="16">
        <f t="shared" si="19"/>
        <v>0</v>
      </c>
      <c r="AM134" s="16"/>
      <c r="AN134" s="16">
        <f t="shared" si="2"/>
        <v>0</v>
      </c>
      <c r="AO134" s="16">
        <v>150</v>
      </c>
      <c r="AP134" s="16">
        <f t="shared" si="20"/>
        <v>40890</v>
      </c>
      <c r="AQ134" s="16"/>
      <c r="AR134" s="16">
        <f t="shared" si="21"/>
        <v>0</v>
      </c>
      <c r="AS134" s="16">
        <v>150</v>
      </c>
      <c r="AT134" s="16">
        <f t="shared" si="22"/>
        <v>48570</v>
      </c>
      <c r="AU134" s="16"/>
      <c r="AV134" s="16">
        <f t="shared" si="23"/>
        <v>0</v>
      </c>
      <c r="AW134" s="16">
        <v>150</v>
      </c>
      <c r="AX134" s="16">
        <f t="shared" si="3"/>
        <v>951319.5</v>
      </c>
      <c r="AY134" s="16">
        <v>150</v>
      </c>
      <c r="AZ134" s="16">
        <f t="shared" si="24"/>
        <v>484429.50000000006</v>
      </c>
      <c r="BA134" s="16">
        <v>150</v>
      </c>
      <c r="BB134" s="16">
        <f t="shared" si="25"/>
        <v>1071220.5</v>
      </c>
      <c r="BC134" s="11">
        <f t="shared" si="28"/>
        <v>3725515.5</v>
      </c>
      <c r="BD134" s="17"/>
      <c r="BE134" s="17"/>
      <c r="BF134" s="17">
        <v>50</v>
      </c>
      <c r="BG134" s="16">
        <f t="shared" si="5"/>
        <v>1150000</v>
      </c>
      <c r="BH134" s="17"/>
      <c r="BI134" s="17"/>
    </row>
    <row r="135" spans="1:61" ht="12.75">
      <c r="A135" s="38">
        <v>35983</v>
      </c>
      <c r="B135" s="39" t="s">
        <v>310</v>
      </c>
      <c r="C135" s="40" t="s">
        <v>557</v>
      </c>
      <c r="D135" s="40" t="s">
        <v>821</v>
      </c>
      <c r="E135" s="17"/>
      <c r="F135" s="16">
        <f t="shared" si="0"/>
        <v>0</v>
      </c>
      <c r="G135" s="17"/>
      <c r="H135" s="16">
        <f t="shared" si="1"/>
        <v>0</v>
      </c>
      <c r="I135" s="16">
        <v>120</v>
      </c>
      <c r="J135" s="16">
        <f t="shared" si="6"/>
        <v>501120</v>
      </c>
      <c r="K135" s="16"/>
      <c r="L135" s="16">
        <f t="shared" si="7"/>
        <v>0</v>
      </c>
      <c r="M135" s="16"/>
      <c r="N135" s="16">
        <f t="shared" si="8"/>
        <v>0</v>
      </c>
      <c r="O135" s="16"/>
      <c r="P135" s="16">
        <f t="shared" si="9"/>
        <v>0</v>
      </c>
      <c r="Q135" s="16"/>
      <c r="R135" s="16">
        <f t="shared" si="10"/>
        <v>0</v>
      </c>
      <c r="S135" s="16"/>
      <c r="T135" s="16">
        <f t="shared" si="11"/>
        <v>0</v>
      </c>
      <c r="U135" s="16"/>
      <c r="V135" s="16">
        <f t="shared" si="12"/>
        <v>0</v>
      </c>
      <c r="W135" s="16"/>
      <c r="X135" s="16"/>
      <c r="Y135" s="16">
        <v>240</v>
      </c>
      <c r="Z135" s="16">
        <f t="shared" si="13"/>
        <v>1412880</v>
      </c>
      <c r="AA135" s="16"/>
      <c r="AB135" s="16">
        <f t="shared" si="14"/>
        <v>0</v>
      </c>
      <c r="AC135" s="16"/>
      <c r="AD135" s="16">
        <f t="shared" si="15"/>
        <v>0</v>
      </c>
      <c r="AE135" s="16"/>
      <c r="AF135" s="16">
        <f t="shared" si="16"/>
        <v>0</v>
      </c>
      <c r="AG135" s="16">
        <v>120</v>
      </c>
      <c r="AH135" s="16">
        <f t="shared" si="17"/>
        <v>795806.4</v>
      </c>
      <c r="AI135" s="16"/>
      <c r="AJ135" s="16">
        <f t="shared" si="18"/>
        <v>0</v>
      </c>
      <c r="AK135" s="16"/>
      <c r="AL135" s="16">
        <f t="shared" si="19"/>
        <v>0</v>
      </c>
      <c r="AM135" s="16"/>
      <c r="AN135" s="16">
        <f t="shared" si="2"/>
        <v>0</v>
      </c>
      <c r="AO135" s="16">
        <v>360</v>
      </c>
      <c r="AP135" s="16">
        <f t="shared" si="20"/>
        <v>98136.00000000001</v>
      </c>
      <c r="AQ135" s="16"/>
      <c r="AR135" s="16">
        <f t="shared" si="21"/>
        <v>0</v>
      </c>
      <c r="AS135" s="16">
        <v>360</v>
      </c>
      <c r="AT135" s="16">
        <f t="shared" si="22"/>
        <v>116568</v>
      </c>
      <c r="AU135" s="16"/>
      <c r="AV135" s="16">
        <f t="shared" si="23"/>
        <v>0</v>
      </c>
      <c r="AW135" s="16">
        <v>360</v>
      </c>
      <c r="AX135" s="16">
        <f t="shared" si="3"/>
        <v>2283166.8</v>
      </c>
      <c r="AY135" s="16">
        <v>360</v>
      </c>
      <c r="AZ135" s="16">
        <f t="shared" si="24"/>
        <v>1162630.8</v>
      </c>
      <c r="BA135" s="16">
        <v>360</v>
      </c>
      <c r="BB135" s="16">
        <f t="shared" si="25"/>
        <v>2570929.2</v>
      </c>
      <c r="BC135" s="11">
        <f t="shared" si="28"/>
        <v>8941237.2</v>
      </c>
      <c r="BD135" s="17"/>
      <c r="BE135" s="17"/>
      <c r="BF135" s="17">
        <v>120</v>
      </c>
      <c r="BG135" s="16">
        <f t="shared" si="5"/>
        <v>2760000</v>
      </c>
      <c r="BH135" s="17"/>
      <c r="BI135" s="17"/>
    </row>
    <row r="136" spans="1:61" ht="12.75">
      <c r="A136" s="38">
        <v>35983</v>
      </c>
      <c r="B136" s="39" t="s">
        <v>310</v>
      </c>
      <c r="C136" s="40" t="s">
        <v>558</v>
      </c>
      <c r="D136" s="40" t="s">
        <v>821</v>
      </c>
      <c r="E136" s="17"/>
      <c r="F136" s="16">
        <f t="shared" si="0"/>
        <v>0</v>
      </c>
      <c r="G136" s="17"/>
      <c r="H136" s="16">
        <f t="shared" si="1"/>
        <v>0</v>
      </c>
      <c r="I136" s="16"/>
      <c r="J136" s="16">
        <f t="shared" si="6"/>
        <v>0</v>
      </c>
      <c r="K136" s="16"/>
      <c r="L136" s="16">
        <f t="shared" si="7"/>
        <v>0</v>
      </c>
      <c r="M136" s="16"/>
      <c r="N136" s="16">
        <f t="shared" si="8"/>
        <v>0</v>
      </c>
      <c r="O136" s="16"/>
      <c r="P136" s="16">
        <f t="shared" si="9"/>
        <v>0</v>
      </c>
      <c r="Q136" s="16"/>
      <c r="R136" s="16">
        <f t="shared" si="10"/>
        <v>0</v>
      </c>
      <c r="S136" s="16"/>
      <c r="T136" s="16">
        <f t="shared" si="11"/>
        <v>0</v>
      </c>
      <c r="U136" s="16"/>
      <c r="V136" s="16">
        <f t="shared" si="12"/>
        <v>0</v>
      </c>
      <c r="W136" s="16"/>
      <c r="X136" s="16"/>
      <c r="Y136" s="16">
        <v>240</v>
      </c>
      <c r="Z136" s="16">
        <f t="shared" si="13"/>
        <v>1412880</v>
      </c>
      <c r="AA136" s="16"/>
      <c r="AB136" s="16">
        <f t="shared" si="14"/>
        <v>0</v>
      </c>
      <c r="AC136" s="16"/>
      <c r="AD136" s="16">
        <f t="shared" si="15"/>
        <v>0</v>
      </c>
      <c r="AE136" s="16"/>
      <c r="AF136" s="16">
        <f t="shared" si="16"/>
        <v>0</v>
      </c>
      <c r="AG136" s="16"/>
      <c r="AH136" s="16">
        <f t="shared" si="17"/>
        <v>0</v>
      </c>
      <c r="AI136" s="16"/>
      <c r="AJ136" s="16">
        <f t="shared" si="18"/>
        <v>0</v>
      </c>
      <c r="AK136" s="16"/>
      <c r="AL136" s="16">
        <f t="shared" si="19"/>
        <v>0</v>
      </c>
      <c r="AM136" s="16">
        <v>15</v>
      </c>
      <c r="AN136" s="16">
        <f t="shared" si="2"/>
        <v>3825259.65</v>
      </c>
      <c r="AO136" s="16"/>
      <c r="AP136" s="16">
        <f t="shared" si="20"/>
        <v>0</v>
      </c>
      <c r="AQ136" s="16"/>
      <c r="AR136" s="16">
        <f t="shared" si="21"/>
        <v>0</v>
      </c>
      <c r="AS136" s="16"/>
      <c r="AT136" s="16">
        <f t="shared" si="22"/>
        <v>0</v>
      </c>
      <c r="AU136" s="16"/>
      <c r="AV136" s="16">
        <f t="shared" si="23"/>
        <v>0</v>
      </c>
      <c r="AW136" s="16">
        <v>360</v>
      </c>
      <c r="AX136" s="16">
        <f t="shared" si="3"/>
        <v>2283166.8</v>
      </c>
      <c r="AY136" s="16"/>
      <c r="AZ136" s="16">
        <f t="shared" si="24"/>
        <v>0</v>
      </c>
      <c r="BA136" s="16"/>
      <c r="BB136" s="16">
        <f t="shared" si="25"/>
        <v>0</v>
      </c>
      <c r="BC136" s="11">
        <f t="shared" si="28"/>
        <v>7521306.45</v>
      </c>
      <c r="BD136" s="17"/>
      <c r="BE136" s="17"/>
      <c r="BF136" s="17">
        <v>120</v>
      </c>
      <c r="BG136" s="16">
        <f t="shared" si="5"/>
        <v>2760000</v>
      </c>
      <c r="BH136" s="17"/>
      <c r="BI136" s="17"/>
    </row>
    <row r="137" spans="1:61" ht="22.5">
      <c r="A137" s="38">
        <v>35977</v>
      </c>
      <c r="B137" s="39" t="s">
        <v>893</v>
      </c>
      <c r="C137" s="40" t="s">
        <v>560</v>
      </c>
      <c r="D137" s="40" t="s">
        <v>911</v>
      </c>
      <c r="E137" s="17"/>
      <c r="F137" s="16">
        <f t="shared" si="0"/>
        <v>0</v>
      </c>
      <c r="G137" s="17"/>
      <c r="H137" s="16">
        <f t="shared" si="1"/>
        <v>0</v>
      </c>
      <c r="I137" s="16"/>
      <c r="J137" s="16">
        <f t="shared" si="6"/>
        <v>0</v>
      </c>
      <c r="K137" s="16"/>
      <c r="L137" s="16">
        <f t="shared" si="7"/>
        <v>0</v>
      </c>
      <c r="M137" s="16"/>
      <c r="N137" s="16">
        <f t="shared" si="8"/>
        <v>0</v>
      </c>
      <c r="O137" s="16"/>
      <c r="P137" s="16">
        <f t="shared" si="9"/>
        <v>0</v>
      </c>
      <c r="Q137" s="16"/>
      <c r="R137" s="16">
        <f t="shared" si="10"/>
        <v>0</v>
      </c>
      <c r="S137" s="16"/>
      <c r="T137" s="16">
        <f t="shared" si="11"/>
        <v>0</v>
      </c>
      <c r="U137" s="16"/>
      <c r="V137" s="16">
        <f t="shared" si="12"/>
        <v>0</v>
      </c>
      <c r="W137" s="16"/>
      <c r="X137" s="16"/>
      <c r="Y137" s="16"/>
      <c r="Z137" s="16">
        <f t="shared" si="13"/>
        <v>0</v>
      </c>
      <c r="AA137" s="16"/>
      <c r="AB137" s="16">
        <f t="shared" si="14"/>
        <v>0</v>
      </c>
      <c r="AC137" s="16"/>
      <c r="AD137" s="16">
        <f t="shared" si="15"/>
        <v>0</v>
      </c>
      <c r="AE137" s="16"/>
      <c r="AF137" s="16">
        <f t="shared" si="16"/>
        <v>0</v>
      </c>
      <c r="AG137" s="16"/>
      <c r="AH137" s="16">
        <f t="shared" si="17"/>
        <v>0</v>
      </c>
      <c r="AI137" s="16"/>
      <c r="AJ137" s="16">
        <f t="shared" si="18"/>
        <v>0</v>
      </c>
      <c r="AK137" s="16"/>
      <c r="AL137" s="16">
        <f t="shared" si="19"/>
        <v>0</v>
      </c>
      <c r="AM137" s="16"/>
      <c r="AN137" s="16">
        <f t="shared" si="2"/>
        <v>0</v>
      </c>
      <c r="AO137" s="16"/>
      <c r="AP137" s="16">
        <f t="shared" si="20"/>
        <v>0</v>
      </c>
      <c r="AQ137" s="16"/>
      <c r="AR137" s="16">
        <f t="shared" si="21"/>
        <v>0</v>
      </c>
      <c r="AS137" s="16"/>
      <c r="AT137" s="16">
        <f t="shared" si="22"/>
        <v>0</v>
      </c>
      <c r="AU137" s="16"/>
      <c r="AV137" s="16">
        <f t="shared" si="23"/>
        <v>0</v>
      </c>
      <c r="AW137" s="16"/>
      <c r="AX137" s="16">
        <f t="shared" si="3"/>
        <v>0</v>
      </c>
      <c r="AY137" s="16"/>
      <c r="AZ137" s="16">
        <f t="shared" si="24"/>
        <v>0</v>
      </c>
      <c r="BA137" s="16"/>
      <c r="BB137" s="16">
        <f t="shared" si="25"/>
        <v>0</v>
      </c>
      <c r="BC137" s="11">
        <f t="shared" si="28"/>
        <v>0</v>
      </c>
      <c r="BD137" s="17"/>
      <c r="BE137" s="17"/>
      <c r="BF137" s="17"/>
      <c r="BG137" s="16">
        <f t="shared" si="5"/>
        <v>0</v>
      </c>
      <c r="BH137" s="17">
        <v>1000</v>
      </c>
      <c r="BI137" s="17">
        <f>1000*5900*1.16</f>
        <v>6843999.999999999</v>
      </c>
    </row>
    <row r="138" spans="1:61" ht="22.5">
      <c r="A138" s="38">
        <v>35977</v>
      </c>
      <c r="B138" s="39" t="s">
        <v>92</v>
      </c>
      <c r="C138" s="40" t="s">
        <v>564</v>
      </c>
      <c r="D138" s="40" t="s">
        <v>821</v>
      </c>
      <c r="E138" s="17">
        <v>200</v>
      </c>
      <c r="F138" s="16">
        <f t="shared" si="0"/>
        <v>69600</v>
      </c>
      <c r="G138" s="17">
        <v>200</v>
      </c>
      <c r="H138" s="16">
        <f t="shared" si="1"/>
        <v>59160</v>
      </c>
      <c r="I138" s="16">
        <v>585</v>
      </c>
      <c r="J138" s="16">
        <f t="shared" si="6"/>
        <v>2442960</v>
      </c>
      <c r="K138" s="16"/>
      <c r="L138" s="16">
        <f t="shared" si="7"/>
        <v>0</v>
      </c>
      <c r="M138" s="16"/>
      <c r="N138" s="16">
        <f t="shared" si="8"/>
        <v>0</v>
      </c>
      <c r="O138" s="16"/>
      <c r="P138" s="16">
        <f t="shared" si="9"/>
        <v>0</v>
      </c>
      <c r="Q138" s="16"/>
      <c r="R138" s="16">
        <f t="shared" si="10"/>
        <v>0</v>
      </c>
      <c r="S138" s="16"/>
      <c r="T138" s="16">
        <f t="shared" si="11"/>
        <v>0</v>
      </c>
      <c r="U138" s="16"/>
      <c r="V138" s="16">
        <f t="shared" si="12"/>
        <v>0</v>
      </c>
      <c r="W138" s="16"/>
      <c r="X138" s="16"/>
      <c r="Y138" s="16">
        <v>585</v>
      </c>
      <c r="Z138" s="16">
        <f t="shared" si="13"/>
        <v>3443895</v>
      </c>
      <c r="AA138" s="16"/>
      <c r="AB138" s="16">
        <f t="shared" si="14"/>
        <v>0</v>
      </c>
      <c r="AC138" s="16"/>
      <c r="AD138" s="16">
        <f t="shared" si="15"/>
        <v>0</v>
      </c>
      <c r="AE138" s="16"/>
      <c r="AF138" s="16">
        <f t="shared" si="16"/>
        <v>0</v>
      </c>
      <c r="AG138" s="16">
        <v>585</v>
      </c>
      <c r="AH138" s="16">
        <f t="shared" si="17"/>
        <v>3879556.2</v>
      </c>
      <c r="AI138" s="16">
        <v>585</v>
      </c>
      <c r="AJ138" s="16">
        <f t="shared" si="18"/>
        <v>271440</v>
      </c>
      <c r="AK138" s="16"/>
      <c r="AL138" s="16">
        <f t="shared" si="19"/>
        <v>0</v>
      </c>
      <c r="AM138" s="16"/>
      <c r="AN138" s="16">
        <f t="shared" si="2"/>
        <v>0</v>
      </c>
      <c r="AO138" s="16">
        <v>748</v>
      </c>
      <c r="AP138" s="16">
        <f t="shared" si="20"/>
        <v>203904.80000000002</v>
      </c>
      <c r="AQ138" s="16"/>
      <c r="AR138" s="16">
        <f t="shared" si="21"/>
        <v>0</v>
      </c>
      <c r="AS138" s="16">
        <v>748</v>
      </c>
      <c r="AT138" s="16">
        <f t="shared" si="22"/>
        <v>242202.4</v>
      </c>
      <c r="AU138" s="16"/>
      <c r="AV138" s="16">
        <f t="shared" si="23"/>
        <v>0</v>
      </c>
      <c r="AW138" s="16">
        <v>748</v>
      </c>
      <c r="AX138" s="16">
        <f t="shared" si="3"/>
        <v>4743913.24</v>
      </c>
      <c r="AY138" s="16"/>
      <c r="AZ138" s="16">
        <f t="shared" si="24"/>
        <v>0</v>
      </c>
      <c r="BA138" s="16">
        <v>748</v>
      </c>
      <c r="BB138" s="16">
        <f t="shared" si="25"/>
        <v>5341819.5600000005</v>
      </c>
      <c r="BC138" s="11">
        <f t="shared" si="28"/>
        <v>20698451.200000003</v>
      </c>
      <c r="BD138" s="17"/>
      <c r="BE138" s="17"/>
      <c r="BF138" s="17">
        <v>585</v>
      </c>
      <c r="BG138" s="16">
        <f t="shared" si="5"/>
        <v>13455000</v>
      </c>
      <c r="BH138" s="17"/>
      <c r="BI138" s="17"/>
    </row>
    <row r="139" spans="1:61" ht="12.75">
      <c r="A139" s="38">
        <v>35989</v>
      </c>
      <c r="B139" s="39" t="s">
        <v>92</v>
      </c>
      <c r="C139" s="40" t="s">
        <v>566</v>
      </c>
      <c r="D139" s="40" t="s">
        <v>821</v>
      </c>
      <c r="E139" s="17"/>
      <c r="F139" s="16">
        <f t="shared" si="0"/>
        <v>0</v>
      </c>
      <c r="G139" s="17"/>
      <c r="H139" s="16">
        <f t="shared" si="1"/>
        <v>0</v>
      </c>
      <c r="I139" s="16"/>
      <c r="J139" s="16">
        <f t="shared" si="6"/>
        <v>0</v>
      </c>
      <c r="K139" s="16"/>
      <c r="L139" s="16">
        <f t="shared" si="7"/>
        <v>0</v>
      </c>
      <c r="M139" s="16"/>
      <c r="N139" s="16">
        <f t="shared" si="8"/>
        <v>0</v>
      </c>
      <c r="O139" s="16"/>
      <c r="P139" s="16">
        <f t="shared" si="9"/>
        <v>0</v>
      </c>
      <c r="Q139" s="16"/>
      <c r="R139" s="16">
        <f t="shared" si="10"/>
        <v>0</v>
      </c>
      <c r="S139" s="16"/>
      <c r="T139" s="16">
        <f t="shared" si="11"/>
        <v>0</v>
      </c>
      <c r="U139" s="16"/>
      <c r="V139" s="16">
        <f t="shared" si="12"/>
        <v>0</v>
      </c>
      <c r="W139" s="16"/>
      <c r="X139" s="16"/>
      <c r="Y139" s="16"/>
      <c r="Z139" s="16">
        <f t="shared" si="13"/>
        <v>0</v>
      </c>
      <c r="AA139" s="16"/>
      <c r="AB139" s="16">
        <f t="shared" si="14"/>
        <v>0</v>
      </c>
      <c r="AC139" s="16"/>
      <c r="AD139" s="16">
        <f t="shared" si="15"/>
        <v>0</v>
      </c>
      <c r="AE139" s="16"/>
      <c r="AF139" s="16">
        <f t="shared" si="16"/>
        <v>0</v>
      </c>
      <c r="AG139" s="16"/>
      <c r="AH139" s="16">
        <f t="shared" si="17"/>
        <v>0</v>
      </c>
      <c r="AI139" s="16"/>
      <c r="AJ139" s="16">
        <f t="shared" si="18"/>
        <v>0</v>
      </c>
      <c r="AK139" s="16"/>
      <c r="AL139" s="16">
        <f t="shared" si="19"/>
        <v>0</v>
      </c>
      <c r="AM139" s="16"/>
      <c r="AN139" s="16">
        <f t="shared" si="2"/>
        <v>0</v>
      </c>
      <c r="AO139" s="16"/>
      <c r="AP139" s="16">
        <f t="shared" si="20"/>
        <v>0</v>
      </c>
      <c r="AQ139" s="16"/>
      <c r="AR139" s="16">
        <f t="shared" si="21"/>
        <v>0</v>
      </c>
      <c r="AS139" s="16"/>
      <c r="AT139" s="16">
        <f t="shared" si="22"/>
        <v>0</v>
      </c>
      <c r="AU139" s="16"/>
      <c r="AV139" s="16">
        <f t="shared" si="23"/>
        <v>0</v>
      </c>
      <c r="AW139" s="16">
        <v>374</v>
      </c>
      <c r="AX139" s="16">
        <f t="shared" si="3"/>
        <v>2371956.62</v>
      </c>
      <c r="AY139" s="16"/>
      <c r="AZ139" s="16">
        <f t="shared" si="24"/>
        <v>0</v>
      </c>
      <c r="BA139" s="16"/>
      <c r="BB139" s="16">
        <f t="shared" si="25"/>
        <v>0</v>
      </c>
      <c r="BC139" s="11">
        <f t="shared" si="28"/>
        <v>2371956.62</v>
      </c>
      <c r="BD139" s="17"/>
      <c r="BE139" s="17"/>
      <c r="BF139" s="17">
        <v>87</v>
      </c>
      <c r="BG139" s="16">
        <f t="shared" si="5"/>
        <v>2001000</v>
      </c>
      <c r="BH139" s="17"/>
      <c r="BI139" s="17"/>
    </row>
    <row r="140" spans="1:61" ht="12.75">
      <c r="A140" s="38">
        <v>35990</v>
      </c>
      <c r="B140" s="39" t="s">
        <v>904</v>
      </c>
      <c r="C140" s="40" t="s">
        <v>875</v>
      </c>
      <c r="D140" s="40" t="s">
        <v>821</v>
      </c>
      <c r="E140" s="17"/>
      <c r="F140" s="16">
        <f t="shared" si="0"/>
        <v>0</v>
      </c>
      <c r="G140" s="17"/>
      <c r="H140" s="16">
        <f t="shared" si="1"/>
        <v>0</v>
      </c>
      <c r="I140" s="16">
        <v>300</v>
      </c>
      <c r="J140" s="16">
        <f t="shared" si="6"/>
        <v>1252800</v>
      </c>
      <c r="K140" s="16"/>
      <c r="L140" s="16">
        <f t="shared" si="7"/>
        <v>0</v>
      </c>
      <c r="M140" s="16"/>
      <c r="N140" s="16">
        <f t="shared" si="8"/>
        <v>0</v>
      </c>
      <c r="O140" s="16"/>
      <c r="P140" s="16">
        <f t="shared" si="9"/>
        <v>0</v>
      </c>
      <c r="Q140" s="16"/>
      <c r="R140" s="16">
        <f t="shared" si="10"/>
        <v>0</v>
      </c>
      <c r="S140" s="16"/>
      <c r="T140" s="16">
        <f t="shared" si="11"/>
        <v>0</v>
      </c>
      <c r="U140" s="16"/>
      <c r="V140" s="16">
        <f t="shared" si="12"/>
        <v>0</v>
      </c>
      <c r="W140" s="16"/>
      <c r="X140" s="16"/>
      <c r="Y140" s="16">
        <v>600</v>
      </c>
      <c r="Z140" s="16">
        <f t="shared" si="13"/>
        <v>3532200</v>
      </c>
      <c r="AA140" s="16"/>
      <c r="AB140" s="16">
        <f t="shared" si="14"/>
        <v>0</v>
      </c>
      <c r="AC140" s="16"/>
      <c r="AD140" s="16">
        <f t="shared" si="15"/>
        <v>0</v>
      </c>
      <c r="AE140" s="16"/>
      <c r="AF140" s="16">
        <f t="shared" si="16"/>
        <v>0</v>
      </c>
      <c r="AG140" s="16">
        <v>300</v>
      </c>
      <c r="AH140" s="16">
        <f t="shared" si="17"/>
        <v>1989516</v>
      </c>
      <c r="AI140" s="16"/>
      <c r="AJ140" s="16">
        <f t="shared" si="18"/>
        <v>0</v>
      </c>
      <c r="AK140" s="16"/>
      <c r="AL140" s="16">
        <f t="shared" si="19"/>
        <v>0</v>
      </c>
      <c r="AM140" s="16"/>
      <c r="AN140" s="16">
        <f t="shared" si="2"/>
        <v>0</v>
      </c>
      <c r="AO140" s="16">
        <v>1000</v>
      </c>
      <c r="AP140" s="16">
        <f t="shared" si="20"/>
        <v>272600</v>
      </c>
      <c r="AQ140" s="16"/>
      <c r="AR140" s="16">
        <f t="shared" si="21"/>
        <v>0</v>
      </c>
      <c r="AS140" s="16">
        <v>1000</v>
      </c>
      <c r="AT140" s="16">
        <f t="shared" si="22"/>
        <v>323800</v>
      </c>
      <c r="AU140" s="16"/>
      <c r="AV140" s="16">
        <f t="shared" si="23"/>
        <v>0</v>
      </c>
      <c r="AW140" s="16"/>
      <c r="AX140" s="16">
        <f t="shared" si="3"/>
        <v>0</v>
      </c>
      <c r="AY140" s="16"/>
      <c r="AZ140" s="16">
        <f t="shared" si="24"/>
        <v>0</v>
      </c>
      <c r="BA140" s="16">
        <v>1000</v>
      </c>
      <c r="BB140" s="16">
        <f t="shared" si="25"/>
        <v>7141470</v>
      </c>
      <c r="BC140" s="11">
        <f t="shared" si="28"/>
        <v>14512386</v>
      </c>
      <c r="BD140" s="17">
        <v>5000</v>
      </c>
      <c r="BE140" s="17">
        <f>+BD140*440.8</f>
        <v>2204000</v>
      </c>
      <c r="BF140" s="17">
        <v>300</v>
      </c>
      <c r="BG140" s="16">
        <f t="shared" si="5"/>
        <v>6900000</v>
      </c>
      <c r="BH140" s="17"/>
      <c r="BI140" s="17"/>
    </row>
    <row r="141" spans="1:61" ht="12.75">
      <c r="A141" s="38">
        <v>35977</v>
      </c>
      <c r="B141" s="39" t="s">
        <v>574</v>
      </c>
      <c r="C141" s="40" t="s">
        <v>575</v>
      </c>
      <c r="D141" s="40" t="s">
        <v>821</v>
      </c>
      <c r="E141" s="17"/>
      <c r="F141" s="16">
        <f t="shared" si="0"/>
        <v>0</v>
      </c>
      <c r="G141" s="17"/>
      <c r="H141" s="16">
        <f t="shared" si="1"/>
        <v>0</v>
      </c>
      <c r="I141" s="16"/>
      <c r="J141" s="16">
        <f t="shared" si="6"/>
        <v>0</v>
      </c>
      <c r="K141" s="16"/>
      <c r="L141" s="16">
        <f t="shared" si="7"/>
        <v>0</v>
      </c>
      <c r="M141" s="16"/>
      <c r="N141" s="16">
        <f t="shared" si="8"/>
        <v>0</v>
      </c>
      <c r="O141" s="16"/>
      <c r="P141" s="16">
        <f t="shared" si="9"/>
        <v>0</v>
      </c>
      <c r="Q141" s="16"/>
      <c r="R141" s="16">
        <f t="shared" si="10"/>
        <v>0</v>
      </c>
      <c r="S141" s="16"/>
      <c r="T141" s="16">
        <f t="shared" si="11"/>
        <v>0</v>
      </c>
      <c r="U141" s="16"/>
      <c r="V141" s="16">
        <f t="shared" si="12"/>
        <v>0</v>
      </c>
      <c r="W141" s="16"/>
      <c r="X141" s="16"/>
      <c r="Y141" s="16"/>
      <c r="Z141" s="16">
        <f t="shared" si="13"/>
        <v>0</v>
      </c>
      <c r="AA141" s="16"/>
      <c r="AB141" s="16">
        <f t="shared" si="14"/>
        <v>0</v>
      </c>
      <c r="AC141" s="16"/>
      <c r="AD141" s="16">
        <f t="shared" si="15"/>
        <v>0</v>
      </c>
      <c r="AE141" s="16"/>
      <c r="AF141" s="16">
        <f t="shared" si="16"/>
        <v>0</v>
      </c>
      <c r="AG141" s="16"/>
      <c r="AH141" s="16">
        <f t="shared" si="17"/>
        <v>0</v>
      </c>
      <c r="AI141" s="16"/>
      <c r="AJ141" s="16">
        <f t="shared" si="18"/>
        <v>0</v>
      </c>
      <c r="AK141" s="16"/>
      <c r="AL141" s="16">
        <f t="shared" si="19"/>
        <v>0</v>
      </c>
      <c r="AM141" s="16"/>
      <c r="AN141" s="16">
        <f t="shared" si="2"/>
        <v>0</v>
      </c>
      <c r="AO141" s="16"/>
      <c r="AP141" s="16">
        <f t="shared" si="20"/>
        <v>0</v>
      </c>
      <c r="AQ141" s="16"/>
      <c r="AR141" s="16">
        <f t="shared" si="21"/>
        <v>0</v>
      </c>
      <c r="AS141" s="16"/>
      <c r="AT141" s="16">
        <f t="shared" si="22"/>
        <v>0</v>
      </c>
      <c r="AU141" s="16"/>
      <c r="AV141" s="16">
        <f t="shared" si="23"/>
        <v>0</v>
      </c>
      <c r="AW141" s="16"/>
      <c r="AX141" s="16">
        <f t="shared" si="3"/>
        <v>0</v>
      </c>
      <c r="AY141" s="16"/>
      <c r="AZ141" s="16">
        <f t="shared" si="24"/>
        <v>0</v>
      </c>
      <c r="BA141" s="16"/>
      <c r="BB141" s="16">
        <f t="shared" si="25"/>
        <v>0</v>
      </c>
      <c r="BC141" s="11">
        <f t="shared" si="28"/>
        <v>0</v>
      </c>
      <c r="BD141" s="17"/>
      <c r="BE141" s="17"/>
      <c r="BF141" s="17">
        <v>200</v>
      </c>
      <c r="BG141" s="16">
        <f t="shared" si="5"/>
        <v>4600000</v>
      </c>
      <c r="BH141" s="17"/>
      <c r="BI141" s="17"/>
    </row>
    <row r="142" spans="1:61" ht="22.5">
      <c r="A142" s="38">
        <v>35997</v>
      </c>
      <c r="B142" s="39" t="s">
        <v>488</v>
      </c>
      <c r="C142" s="40" t="s">
        <v>577</v>
      </c>
      <c r="D142" s="40" t="s">
        <v>821</v>
      </c>
      <c r="E142" s="17"/>
      <c r="F142" s="16">
        <f t="shared" si="0"/>
        <v>0</v>
      </c>
      <c r="G142" s="17"/>
      <c r="H142" s="16">
        <f t="shared" si="1"/>
        <v>0</v>
      </c>
      <c r="I142" s="16"/>
      <c r="J142" s="16">
        <f t="shared" si="6"/>
        <v>0</v>
      </c>
      <c r="K142" s="16"/>
      <c r="L142" s="16">
        <f t="shared" si="7"/>
        <v>0</v>
      </c>
      <c r="M142" s="16"/>
      <c r="N142" s="16">
        <f t="shared" si="8"/>
        <v>0</v>
      </c>
      <c r="O142" s="16"/>
      <c r="P142" s="16">
        <f t="shared" si="9"/>
        <v>0</v>
      </c>
      <c r="Q142" s="16"/>
      <c r="R142" s="16">
        <f t="shared" si="10"/>
        <v>0</v>
      </c>
      <c r="S142" s="16"/>
      <c r="T142" s="16">
        <f t="shared" si="11"/>
        <v>0</v>
      </c>
      <c r="U142" s="16"/>
      <c r="V142" s="16">
        <f t="shared" si="12"/>
        <v>0</v>
      </c>
      <c r="W142" s="16"/>
      <c r="X142" s="16"/>
      <c r="Y142" s="16"/>
      <c r="Z142" s="16">
        <f t="shared" si="13"/>
        <v>0</v>
      </c>
      <c r="AA142" s="16">
        <v>240</v>
      </c>
      <c r="AB142" s="16">
        <f t="shared" si="14"/>
        <v>3480000</v>
      </c>
      <c r="AC142" s="16"/>
      <c r="AD142" s="16">
        <f t="shared" si="15"/>
        <v>0</v>
      </c>
      <c r="AE142" s="16"/>
      <c r="AF142" s="16">
        <f t="shared" si="16"/>
        <v>0</v>
      </c>
      <c r="AG142" s="16">
        <v>240</v>
      </c>
      <c r="AH142" s="16">
        <f t="shared" si="17"/>
        <v>1591612.8</v>
      </c>
      <c r="AI142" s="16"/>
      <c r="AJ142" s="16">
        <f t="shared" si="18"/>
        <v>0</v>
      </c>
      <c r="AK142" s="16"/>
      <c r="AL142" s="16">
        <f t="shared" si="19"/>
        <v>0</v>
      </c>
      <c r="AM142" s="16"/>
      <c r="AN142" s="16">
        <f t="shared" si="2"/>
        <v>0</v>
      </c>
      <c r="AO142" s="16">
        <v>240</v>
      </c>
      <c r="AP142" s="16">
        <f t="shared" si="20"/>
        <v>65424.00000000001</v>
      </c>
      <c r="AQ142" s="16"/>
      <c r="AR142" s="16">
        <f t="shared" si="21"/>
        <v>0</v>
      </c>
      <c r="AS142" s="16"/>
      <c r="AT142" s="16">
        <f t="shared" si="22"/>
        <v>0</v>
      </c>
      <c r="AU142" s="16"/>
      <c r="AV142" s="16">
        <f t="shared" si="23"/>
        <v>0</v>
      </c>
      <c r="AW142" s="16">
        <v>240</v>
      </c>
      <c r="AX142" s="16">
        <f t="shared" si="3"/>
        <v>1522111.2</v>
      </c>
      <c r="AY142" s="16">
        <v>240</v>
      </c>
      <c r="AZ142" s="16">
        <f t="shared" si="24"/>
        <v>775087.2000000001</v>
      </c>
      <c r="BA142" s="16">
        <v>240</v>
      </c>
      <c r="BB142" s="16">
        <f t="shared" si="25"/>
        <v>1713952.8</v>
      </c>
      <c r="BC142" s="11">
        <f t="shared" si="28"/>
        <v>9148188</v>
      </c>
      <c r="BD142" s="17"/>
      <c r="BE142" s="17"/>
      <c r="BF142" s="17">
        <v>80</v>
      </c>
      <c r="BG142" s="16">
        <f t="shared" si="5"/>
        <v>1840000</v>
      </c>
      <c r="BH142" s="17"/>
      <c r="BI142" s="17"/>
    </row>
    <row r="143" spans="1:61" ht="12.75">
      <c r="A143" s="38">
        <v>35997</v>
      </c>
      <c r="B143" s="39" t="s">
        <v>488</v>
      </c>
      <c r="C143" s="40" t="s">
        <v>578</v>
      </c>
      <c r="D143" s="40" t="s">
        <v>821</v>
      </c>
      <c r="E143" s="17"/>
      <c r="F143" s="16">
        <f t="shared" si="0"/>
        <v>0</v>
      </c>
      <c r="G143" s="17"/>
      <c r="H143" s="16">
        <f t="shared" si="1"/>
        <v>0</v>
      </c>
      <c r="I143" s="16"/>
      <c r="J143" s="16">
        <f t="shared" si="6"/>
        <v>0</v>
      </c>
      <c r="K143" s="16"/>
      <c r="L143" s="16">
        <f t="shared" si="7"/>
        <v>0</v>
      </c>
      <c r="M143" s="16"/>
      <c r="N143" s="16">
        <f t="shared" si="8"/>
        <v>0</v>
      </c>
      <c r="O143" s="16"/>
      <c r="P143" s="16">
        <f t="shared" si="9"/>
        <v>0</v>
      </c>
      <c r="Q143" s="16"/>
      <c r="R143" s="16">
        <f t="shared" si="10"/>
        <v>0</v>
      </c>
      <c r="S143" s="16"/>
      <c r="T143" s="16">
        <f t="shared" si="11"/>
        <v>0</v>
      </c>
      <c r="U143" s="16"/>
      <c r="V143" s="16">
        <f t="shared" si="12"/>
        <v>0</v>
      </c>
      <c r="W143" s="16"/>
      <c r="X143" s="16"/>
      <c r="Y143" s="16"/>
      <c r="Z143" s="16">
        <f t="shared" si="13"/>
        <v>0</v>
      </c>
      <c r="AA143" s="16">
        <v>588</v>
      </c>
      <c r="AB143" s="16">
        <f t="shared" si="14"/>
        <v>8526000</v>
      </c>
      <c r="AC143" s="16"/>
      <c r="AD143" s="16">
        <f t="shared" si="15"/>
        <v>0</v>
      </c>
      <c r="AE143" s="16"/>
      <c r="AF143" s="16">
        <f t="shared" si="16"/>
        <v>0</v>
      </c>
      <c r="AG143" s="16">
        <v>588</v>
      </c>
      <c r="AH143" s="16">
        <f t="shared" si="17"/>
        <v>3899451.3600000003</v>
      </c>
      <c r="AI143" s="16"/>
      <c r="AJ143" s="16">
        <f t="shared" si="18"/>
        <v>0</v>
      </c>
      <c r="AK143" s="16"/>
      <c r="AL143" s="16">
        <f t="shared" si="19"/>
        <v>0</v>
      </c>
      <c r="AM143" s="16"/>
      <c r="AN143" s="16">
        <f t="shared" si="2"/>
        <v>0</v>
      </c>
      <c r="AO143" s="16">
        <v>588</v>
      </c>
      <c r="AP143" s="16">
        <f t="shared" si="20"/>
        <v>160288.80000000002</v>
      </c>
      <c r="AQ143" s="16"/>
      <c r="AR143" s="16">
        <f t="shared" si="21"/>
        <v>0</v>
      </c>
      <c r="AS143" s="16"/>
      <c r="AT143" s="16">
        <f t="shared" si="22"/>
        <v>0</v>
      </c>
      <c r="AU143" s="16"/>
      <c r="AV143" s="16">
        <f t="shared" si="23"/>
        <v>0</v>
      </c>
      <c r="AW143" s="16">
        <v>588</v>
      </c>
      <c r="AX143" s="16">
        <f t="shared" si="3"/>
        <v>3729172.44</v>
      </c>
      <c r="AY143" s="16">
        <v>588</v>
      </c>
      <c r="AZ143" s="16">
        <f t="shared" si="24"/>
        <v>1898963.6400000001</v>
      </c>
      <c r="BA143" s="16">
        <v>588</v>
      </c>
      <c r="BB143" s="16">
        <f t="shared" si="25"/>
        <v>4199184.36</v>
      </c>
      <c r="BC143" s="11">
        <f t="shared" si="28"/>
        <v>22413060.599999998</v>
      </c>
      <c r="BD143" s="17"/>
      <c r="BE143" s="17"/>
      <c r="BF143" s="17">
        <v>196</v>
      </c>
      <c r="BG143" s="16">
        <f t="shared" si="5"/>
        <v>4508000</v>
      </c>
      <c r="BH143" s="17"/>
      <c r="BI143" s="17"/>
    </row>
    <row r="144" spans="1:61" ht="12.75">
      <c r="A144" s="38">
        <v>36008</v>
      </c>
      <c r="B144" s="39" t="s">
        <v>59</v>
      </c>
      <c r="C144" s="40" t="s">
        <v>586</v>
      </c>
      <c r="D144" s="40" t="s">
        <v>821</v>
      </c>
      <c r="E144" s="17"/>
      <c r="F144" s="16">
        <f t="shared" si="0"/>
        <v>0</v>
      </c>
      <c r="G144" s="17"/>
      <c r="H144" s="16">
        <f t="shared" si="1"/>
        <v>0</v>
      </c>
      <c r="I144" s="16"/>
      <c r="J144" s="16">
        <f t="shared" si="6"/>
        <v>0</v>
      </c>
      <c r="K144" s="16"/>
      <c r="L144" s="16">
        <f t="shared" si="7"/>
        <v>0</v>
      </c>
      <c r="M144" s="16"/>
      <c r="N144" s="16">
        <f t="shared" si="8"/>
        <v>0</v>
      </c>
      <c r="O144" s="16"/>
      <c r="P144" s="16">
        <f t="shared" si="9"/>
        <v>0</v>
      </c>
      <c r="Q144" s="16"/>
      <c r="R144" s="16">
        <f t="shared" si="10"/>
        <v>0</v>
      </c>
      <c r="S144" s="16"/>
      <c r="T144" s="16">
        <f t="shared" si="11"/>
        <v>0</v>
      </c>
      <c r="U144" s="16"/>
      <c r="V144" s="16">
        <f t="shared" si="12"/>
        <v>0</v>
      </c>
      <c r="W144" s="16"/>
      <c r="X144" s="16"/>
      <c r="Y144" s="16"/>
      <c r="Z144" s="16">
        <f t="shared" si="13"/>
        <v>0</v>
      </c>
      <c r="AA144" s="16"/>
      <c r="AB144" s="16">
        <f t="shared" si="14"/>
        <v>0</v>
      </c>
      <c r="AC144" s="16"/>
      <c r="AD144" s="16">
        <f t="shared" si="15"/>
        <v>0</v>
      </c>
      <c r="AE144" s="16"/>
      <c r="AF144" s="16">
        <f t="shared" si="16"/>
        <v>0</v>
      </c>
      <c r="AG144" s="16"/>
      <c r="AH144" s="16">
        <f t="shared" si="17"/>
        <v>0</v>
      </c>
      <c r="AI144" s="16"/>
      <c r="AJ144" s="16">
        <f t="shared" si="18"/>
        <v>0</v>
      </c>
      <c r="AK144" s="16"/>
      <c r="AL144" s="16">
        <f t="shared" si="19"/>
        <v>0</v>
      </c>
      <c r="AM144" s="16"/>
      <c r="AN144" s="16">
        <f t="shared" si="2"/>
        <v>0</v>
      </c>
      <c r="AO144" s="16"/>
      <c r="AP144" s="16">
        <f t="shared" si="20"/>
        <v>0</v>
      </c>
      <c r="AQ144" s="16"/>
      <c r="AR144" s="16">
        <f t="shared" si="21"/>
        <v>0</v>
      </c>
      <c r="AS144" s="16"/>
      <c r="AT144" s="16">
        <f t="shared" si="22"/>
        <v>0</v>
      </c>
      <c r="AU144" s="16"/>
      <c r="AV144" s="16">
        <f t="shared" si="23"/>
        <v>0</v>
      </c>
      <c r="AW144" s="16"/>
      <c r="AX144" s="16">
        <f t="shared" si="3"/>
        <v>0</v>
      </c>
      <c r="AY144" s="16"/>
      <c r="AZ144" s="16">
        <f t="shared" si="24"/>
        <v>0</v>
      </c>
      <c r="BA144" s="16"/>
      <c r="BB144" s="16">
        <f t="shared" si="25"/>
        <v>0</v>
      </c>
      <c r="BC144" s="11">
        <f t="shared" si="28"/>
        <v>0</v>
      </c>
      <c r="BD144" s="17">
        <v>2000</v>
      </c>
      <c r="BE144" s="17">
        <f>+BD144*440.8</f>
        <v>881600</v>
      </c>
      <c r="BF144" s="17"/>
      <c r="BG144" s="16">
        <f t="shared" si="5"/>
        <v>0</v>
      </c>
      <c r="BH144" s="17"/>
      <c r="BI144" s="17"/>
    </row>
    <row r="145" spans="1:61" ht="12.75">
      <c r="A145" s="38">
        <v>36008</v>
      </c>
      <c r="B145" s="39" t="s">
        <v>59</v>
      </c>
      <c r="C145" s="40" t="s">
        <v>211</v>
      </c>
      <c r="D145" s="40" t="s">
        <v>821</v>
      </c>
      <c r="E145" s="17">
        <v>200</v>
      </c>
      <c r="F145" s="16">
        <f t="shared" si="0"/>
        <v>69600</v>
      </c>
      <c r="G145" s="17">
        <v>200</v>
      </c>
      <c r="H145" s="16">
        <f t="shared" si="1"/>
        <v>59160</v>
      </c>
      <c r="I145" s="16">
        <v>155</v>
      </c>
      <c r="J145" s="16">
        <f t="shared" si="6"/>
        <v>647280</v>
      </c>
      <c r="K145" s="16"/>
      <c r="L145" s="16">
        <f t="shared" si="7"/>
        <v>0</v>
      </c>
      <c r="M145" s="16"/>
      <c r="N145" s="16">
        <f t="shared" si="8"/>
        <v>0</v>
      </c>
      <c r="O145" s="16"/>
      <c r="P145" s="16">
        <f t="shared" si="9"/>
        <v>0</v>
      </c>
      <c r="Q145" s="16"/>
      <c r="R145" s="16">
        <f t="shared" si="10"/>
        <v>0</v>
      </c>
      <c r="S145" s="16">
        <v>100</v>
      </c>
      <c r="T145" s="16">
        <f t="shared" si="11"/>
        <v>188500</v>
      </c>
      <c r="U145" s="16">
        <v>150</v>
      </c>
      <c r="V145" s="16">
        <f t="shared" si="12"/>
        <v>87096</v>
      </c>
      <c r="W145" s="16"/>
      <c r="X145" s="16"/>
      <c r="Y145" s="16"/>
      <c r="Z145" s="16">
        <f t="shared" si="13"/>
        <v>0</v>
      </c>
      <c r="AA145" s="16">
        <v>300</v>
      </c>
      <c r="AB145" s="16">
        <f t="shared" si="14"/>
        <v>4350000</v>
      </c>
      <c r="AC145" s="16">
        <v>155</v>
      </c>
      <c r="AD145" s="16">
        <f t="shared" si="15"/>
        <v>97092</v>
      </c>
      <c r="AE145" s="16">
        <v>155</v>
      </c>
      <c r="AF145" s="16">
        <f t="shared" si="16"/>
        <v>316268.2</v>
      </c>
      <c r="AG145" s="16">
        <v>155</v>
      </c>
      <c r="AH145" s="16">
        <f t="shared" si="17"/>
        <v>1027916.6000000001</v>
      </c>
      <c r="AI145" s="16"/>
      <c r="AJ145" s="16">
        <f t="shared" si="18"/>
        <v>0</v>
      </c>
      <c r="AK145" s="16"/>
      <c r="AL145" s="16">
        <f t="shared" si="19"/>
        <v>0</v>
      </c>
      <c r="AM145" s="16"/>
      <c r="AN145" s="16">
        <f t="shared" si="2"/>
        <v>0</v>
      </c>
      <c r="AO145" s="16"/>
      <c r="AP145" s="16">
        <f t="shared" si="20"/>
        <v>0</v>
      </c>
      <c r="AQ145" s="16"/>
      <c r="AR145" s="16">
        <f t="shared" si="21"/>
        <v>0</v>
      </c>
      <c r="AS145" s="16">
        <v>155</v>
      </c>
      <c r="AT145" s="16">
        <f t="shared" si="22"/>
        <v>50189</v>
      </c>
      <c r="AU145" s="16"/>
      <c r="AV145" s="16">
        <f t="shared" si="23"/>
        <v>0</v>
      </c>
      <c r="AW145" s="16">
        <v>300</v>
      </c>
      <c r="AX145" s="16">
        <f t="shared" si="3"/>
        <v>1902639</v>
      </c>
      <c r="AY145" s="16">
        <v>300</v>
      </c>
      <c r="AZ145" s="16">
        <f t="shared" si="24"/>
        <v>968859.0000000001</v>
      </c>
      <c r="BA145" s="16">
        <v>300</v>
      </c>
      <c r="BB145" s="16">
        <f t="shared" si="25"/>
        <v>2142441</v>
      </c>
      <c r="BC145" s="11">
        <f t="shared" si="28"/>
        <v>11907040.8</v>
      </c>
      <c r="BD145" s="17"/>
      <c r="BE145" s="17"/>
      <c r="BF145" s="17"/>
      <c r="BG145" s="16">
        <f t="shared" si="5"/>
        <v>0</v>
      </c>
      <c r="BH145" s="17"/>
      <c r="BI145" s="17"/>
    </row>
    <row r="146" spans="1:61" ht="12.75">
      <c r="A146" s="38">
        <v>36008</v>
      </c>
      <c r="B146" s="39" t="s">
        <v>11</v>
      </c>
      <c r="C146" s="40" t="s">
        <v>875</v>
      </c>
      <c r="D146" s="40" t="s">
        <v>821</v>
      </c>
      <c r="E146" s="17">
        <v>100</v>
      </c>
      <c r="F146" s="16">
        <f t="shared" si="0"/>
        <v>34800</v>
      </c>
      <c r="G146" s="17">
        <v>100</v>
      </c>
      <c r="H146" s="16">
        <f t="shared" si="1"/>
        <v>29580</v>
      </c>
      <c r="I146" s="16"/>
      <c r="J146" s="16">
        <f t="shared" si="6"/>
        <v>0</v>
      </c>
      <c r="K146" s="16"/>
      <c r="L146" s="16">
        <f t="shared" si="7"/>
        <v>0</v>
      </c>
      <c r="M146" s="16"/>
      <c r="N146" s="16">
        <f t="shared" si="8"/>
        <v>0</v>
      </c>
      <c r="O146" s="16"/>
      <c r="P146" s="16">
        <f t="shared" si="9"/>
        <v>0</v>
      </c>
      <c r="Q146" s="16"/>
      <c r="R146" s="16">
        <f t="shared" si="10"/>
        <v>0</v>
      </c>
      <c r="S146" s="16"/>
      <c r="T146" s="16">
        <f t="shared" si="11"/>
        <v>0</v>
      </c>
      <c r="U146" s="16"/>
      <c r="V146" s="16">
        <f t="shared" si="12"/>
        <v>0</v>
      </c>
      <c r="W146" s="16"/>
      <c r="X146" s="16"/>
      <c r="Y146" s="16">
        <v>150</v>
      </c>
      <c r="Z146" s="16">
        <f t="shared" si="13"/>
        <v>883050</v>
      </c>
      <c r="AA146" s="16"/>
      <c r="AB146" s="16">
        <f t="shared" si="14"/>
        <v>0</v>
      </c>
      <c r="AC146" s="16"/>
      <c r="AD146" s="16">
        <f t="shared" si="15"/>
        <v>0</v>
      </c>
      <c r="AE146" s="16"/>
      <c r="AF146" s="16">
        <f t="shared" si="16"/>
        <v>0</v>
      </c>
      <c r="AG146" s="16"/>
      <c r="AH146" s="16">
        <f t="shared" si="17"/>
        <v>0</v>
      </c>
      <c r="AI146" s="16"/>
      <c r="AJ146" s="16">
        <f t="shared" si="18"/>
        <v>0</v>
      </c>
      <c r="AK146" s="16"/>
      <c r="AL146" s="16">
        <f t="shared" si="19"/>
        <v>0</v>
      </c>
      <c r="AM146" s="16"/>
      <c r="AN146" s="16">
        <f t="shared" si="2"/>
        <v>0</v>
      </c>
      <c r="AO146" s="16"/>
      <c r="AP146" s="16">
        <f t="shared" si="20"/>
        <v>0</v>
      </c>
      <c r="AQ146" s="16"/>
      <c r="AR146" s="16">
        <f t="shared" si="21"/>
        <v>0</v>
      </c>
      <c r="AS146" s="16"/>
      <c r="AT146" s="16">
        <f t="shared" si="22"/>
        <v>0</v>
      </c>
      <c r="AU146" s="16"/>
      <c r="AV146" s="16">
        <f t="shared" si="23"/>
        <v>0</v>
      </c>
      <c r="AW146" s="16">
        <v>400</v>
      </c>
      <c r="AX146" s="16">
        <f t="shared" si="3"/>
        <v>2536852</v>
      </c>
      <c r="AY146" s="16">
        <v>400</v>
      </c>
      <c r="AZ146" s="16">
        <f t="shared" si="24"/>
        <v>1291812</v>
      </c>
      <c r="BA146" s="16">
        <v>400</v>
      </c>
      <c r="BB146" s="16">
        <f t="shared" si="25"/>
        <v>2856588</v>
      </c>
      <c r="BC146" s="11">
        <f t="shared" si="28"/>
        <v>7632682</v>
      </c>
      <c r="BD146" s="17"/>
      <c r="BE146" s="17"/>
      <c r="BF146" s="17">
        <v>400</v>
      </c>
      <c r="BG146" s="16">
        <f t="shared" si="5"/>
        <v>9200000</v>
      </c>
      <c r="BH146" s="17">
        <v>200</v>
      </c>
      <c r="BI146" s="16">
        <f>+BH146*6885.76</f>
        <v>1377152</v>
      </c>
    </row>
    <row r="147" spans="1:61" ht="22.5">
      <c r="A147" s="38">
        <v>36025</v>
      </c>
      <c r="B147" s="39" t="s">
        <v>13</v>
      </c>
      <c r="C147" s="40" t="s">
        <v>634</v>
      </c>
      <c r="D147" s="40" t="s">
        <v>911</v>
      </c>
      <c r="E147" s="17"/>
      <c r="F147" s="16">
        <f t="shared" si="0"/>
        <v>0</v>
      </c>
      <c r="G147" s="17"/>
      <c r="H147" s="16">
        <f t="shared" si="1"/>
        <v>0</v>
      </c>
      <c r="I147" s="16"/>
      <c r="J147" s="16">
        <f t="shared" si="6"/>
        <v>0</v>
      </c>
      <c r="K147" s="16"/>
      <c r="L147" s="16">
        <f t="shared" si="7"/>
        <v>0</v>
      </c>
      <c r="M147" s="16"/>
      <c r="N147" s="16">
        <f t="shared" si="8"/>
        <v>0</v>
      </c>
      <c r="O147" s="16"/>
      <c r="P147" s="16">
        <f t="shared" si="9"/>
        <v>0</v>
      </c>
      <c r="Q147" s="16"/>
      <c r="R147" s="16">
        <f t="shared" si="10"/>
        <v>0</v>
      </c>
      <c r="S147" s="16"/>
      <c r="T147" s="16">
        <f t="shared" si="11"/>
        <v>0</v>
      </c>
      <c r="U147" s="16"/>
      <c r="V147" s="16">
        <f t="shared" si="12"/>
        <v>0</v>
      </c>
      <c r="W147" s="16"/>
      <c r="X147" s="16"/>
      <c r="Y147" s="16"/>
      <c r="Z147" s="16">
        <f t="shared" si="13"/>
        <v>0</v>
      </c>
      <c r="AA147" s="16"/>
      <c r="AB147" s="16">
        <f t="shared" si="14"/>
        <v>0</v>
      </c>
      <c r="AC147" s="16"/>
      <c r="AD147" s="16">
        <f t="shared" si="15"/>
        <v>0</v>
      </c>
      <c r="AE147" s="16"/>
      <c r="AF147" s="16">
        <f t="shared" si="16"/>
        <v>0</v>
      </c>
      <c r="AG147" s="16"/>
      <c r="AH147" s="16">
        <f t="shared" si="17"/>
        <v>0</v>
      </c>
      <c r="AI147" s="16"/>
      <c r="AJ147" s="16">
        <f t="shared" si="18"/>
        <v>0</v>
      </c>
      <c r="AK147" s="16"/>
      <c r="AL147" s="16">
        <f t="shared" si="19"/>
        <v>0</v>
      </c>
      <c r="AM147" s="16"/>
      <c r="AN147" s="16">
        <f t="shared" si="2"/>
        <v>0</v>
      </c>
      <c r="AO147" s="16"/>
      <c r="AP147" s="16">
        <f t="shared" si="20"/>
        <v>0</v>
      </c>
      <c r="AQ147" s="16"/>
      <c r="AR147" s="16">
        <f t="shared" si="21"/>
        <v>0</v>
      </c>
      <c r="AS147" s="16"/>
      <c r="AT147" s="16">
        <f t="shared" si="22"/>
        <v>0</v>
      </c>
      <c r="AU147" s="16"/>
      <c r="AV147" s="16">
        <f t="shared" si="23"/>
        <v>0</v>
      </c>
      <c r="AW147" s="16"/>
      <c r="AX147" s="16">
        <f t="shared" si="3"/>
        <v>0</v>
      </c>
      <c r="AY147" s="16"/>
      <c r="AZ147" s="16">
        <f t="shared" si="24"/>
        <v>0</v>
      </c>
      <c r="BA147" s="16"/>
      <c r="BB147" s="16">
        <f t="shared" si="25"/>
        <v>0</v>
      </c>
      <c r="BC147" s="11">
        <f t="shared" si="28"/>
        <v>0</v>
      </c>
      <c r="BD147" s="17"/>
      <c r="BE147" s="17"/>
      <c r="BF147" s="17"/>
      <c r="BG147" s="16">
        <f t="shared" si="5"/>
        <v>0</v>
      </c>
      <c r="BH147" s="17">
        <v>2400</v>
      </c>
      <c r="BI147" s="17">
        <f>2400*5900*1.16</f>
        <v>16425599.999999998</v>
      </c>
    </row>
    <row r="148" spans="1:61" ht="22.5">
      <c r="A148" s="38">
        <v>36008</v>
      </c>
      <c r="B148" s="39" t="s">
        <v>899</v>
      </c>
      <c r="C148" s="40" t="s">
        <v>385</v>
      </c>
      <c r="D148" s="40" t="s">
        <v>821</v>
      </c>
      <c r="E148" s="17">
        <v>60</v>
      </c>
      <c r="F148" s="16">
        <f t="shared" si="0"/>
        <v>20880</v>
      </c>
      <c r="G148" s="17">
        <v>60</v>
      </c>
      <c r="H148" s="16">
        <f t="shared" si="1"/>
        <v>17748</v>
      </c>
      <c r="I148" s="16">
        <v>50</v>
      </c>
      <c r="J148" s="16">
        <f t="shared" si="6"/>
        <v>208800</v>
      </c>
      <c r="K148" s="16"/>
      <c r="L148" s="16">
        <f t="shared" si="7"/>
        <v>0</v>
      </c>
      <c r="M148" s="16"/>
      <c r="N148" s="16">
        <f t="shared" si="8"/>
        <v>0</v>
      </c>
      <c r="O148" s="16"/>
      <c r="P148" s="16">
        <f t="shared" si="9"/>
        <v>0</v>
      </c>
      <c r="Q148" s="16"/>
      <c r="R148" s="16">
        <f t="shared" si="10"/>
        <v>0</v>
      </c>
      <c r="S148" s="16"/>
      <c r="T148" s="16">
        <f t="shared" si="11"/>
        <v>0</v>
      </c>
      <c r="U148" s="16">
        <v>60</v>
      </c>
      <c r="V148" s="16">
        <f t="shared" si="12"/>
        <v>34838.4</v>
      </c>
      <c r="W148" s="16"/>
      <c r="X148" s="16"/>
      <c r="Y148" s="16">
        <v>50</v>
      </c>
      <c r="Z148" s="16">
        <f t="shared" si="13"/>
        <v>294350</v>
      </c>
      <c r="AA148" s="16"/>
      <c r="AB148" s="16">
        <f t="shared" si="14"/>
        <v>0</v>
      </c>
      <c r="AC148" s="16">
        <v>60</v>
      </c>
      <c r="AD148" s="16">
        <f t="shared" si="15"/>
        <v>37584</v>
      </c>
      <c r="AE148" s="16"/>
      <c r="AF148" s="16">
        <f t="shared" si="16"/>
        <v>0</v>
      </c>
      <c r="AG148" s="16">
        <v>50</v>
      </c>
      <c r="AH148" s="16">
        <f t="shared" si="17"/>
        <v>331586</v>
      </c>
      <c r="AI148" s="16"/>
      <c r="AJ148" s="16">
        <f t="shared" si="18"/>
        <v>0</v>
      </c>
      <c r="AK148" s="16"/>
      <c r="AL148" s="16">
        <f t="shared" si="19"/>
        <v>0</v>
      </c>
      <c r="AM148" s="16"/>
      <c r="AN148" s="16">
        <f t="shared" si="2"/>
        <v>0</v>
      </c>
      <c r="AO148" s="16"/>
      <c r="AP148" s="16">
        <f t="shared" si="20"/>
        <v>0</v>
      </c>
      <c r="AQ148" s="16"/>
      <c r="AR148" s="16">
        <f t="shared" si="21"/>
        <v>0</v>
      </c>
      <c r="AS148" s="16">
        <v>50</v>
      </c>
      <c r="AT148" s="16">
        <f t="shared" si="22"/>
        <v>16190</v>
      </c>
      <c r="AU148" s="16"/>
      <c r="AV148" s="16">
        <f t="shared" si="23"/>
        <v>0</v>
      </c>
      <c r="AW148" s="16">
        <v>200</v>
      </c>
      <c r="AX148" s="16">
        <f t="shared" si="3"/>
        <v>1268426</v>
      </c>
      <c r="AY148" s="16">
        <v>60</v>
      </c>
      <c r="AZ148" s="16">
        <f t="shared" si="24"/>
        <v>193771.80000000002</v>
      </c>
      <c r="BA148" s="16">
        <v>50</v>
      </c>
      <c r="BB148" s="16">
        <f t="shared" si="25"/>
        <v>357073.5</v>
      </c>
      <c r="BC148" s="11">
        <f t="shared" si="28"/>
        <v>2781247.6999999997</v>
      </c>
      <c r="BD148" s="17"/>
      <c r="BE148" s="17"/>
      <c r="BF148" s="17">
        <v>60</v>
      </c>
      <c r="BG148" s="16">
        <f t="shared" si="5"/>
        <v>1380000</v>
      </c>
      <c r="BH148" s="17">
        <v>250</v>
      </c>
      <c r="BI148" s="17">
        <f>250*5900*1.16</f>
        <v>1710999.9999999998</v>
      </c>
    </row>
    <row r="149" spans="1:61" ht="12.75">
      <c r="A149" s="38">
        <v>36008</v>
      </c>
      <c r="B149" s="39" t="s">
        <v>904</v>
      </c>
      <c r="C149" s="40" t="s">
        <v>646</v>
      </c>
      <c r="D149" s="40" t="s">
        <v>911</v>
      </c>
      <c r="E149" s="17"/>
      <c r="F149" s="16">
        <f t="shared" si="0"/>
        <v>0</v>
      </c>
      <c r="G149" s="17"/>
      <c r="H149" s="16">
        <f t="shared" si="1"/>
        <v>0</v>
      </c>
      <c r="I149" s="16"/>
      <c r="J149" s="16">
        <f t="shared" si="6"/>
        <v>0</v>
      </c>
      <c r="K149" s="16"/>
      <c r="L149" s="16">
        <f t="shared" si="7"/>
        <v>0</v>
      </c>
      <c r="M149" s="16"/>
      <c r="N149" s="16">
        <f t="shared" si="8"/>
        <v>0</v>
      </c>
      <c r="O149" s="16"/>
      <c r="P149" s="16">
        <f t="shared" si="9"/>
        <v>0</v>
      </c>
      <c r="Q149" s="16"/>
      <c r="R149" s="16">
        <f t="shared" si="10"/>
        <v>0</v>
      </c>
      <c r="S149" s="16"/>
      <c r="T149" s="16">
        <f t="shared" si="11"/>
        <v>0</v>
      </c>
      <c r="U149" s="16"/>
      <c r="V149" s="16">
        <f t="shared" si="12"/>
        <v>0</v>
      </c>
      <c r="W149" s="16"/>
      <c r="X149" s="16"/>
      <c r="Y149" s="16"/>
      <c r="Z149" s="16">
        <f t="shared" si="13"/>
        <v>0</v>
      </c>
      <c r="AA149" s="16"/>
      <c r="AB149" s="16">
        <f t="shared" si="14"/>
        <v>0</v>
      </c>
      <c r="AC149" s="16"/>
      <c r="AD149" s="16">
        <f t="shared" si="15"/>
        <v>0</v>
      </c>
      <c r="AE149" s="16"/>
      <c r="AF149" s="16">
        <f t="shared" si="16"/>
        <v>0</v>
      </c>
      <c r="AG149" s="16"/>
      <c r="AH149" s="16">
        <f t="shared" si="17"/>
        <v>0</v>
      </c>
      <c r="AI149" s="16"/>
      <c r="AJ149" s="16">
        <f t="shared" si="18"/>
        <v>0</v>
      </c>
      <c r="AK149" s="16"/>
      <c r="AL149" s="16">
        <f t="shared" si="19"/>
        <v>0</v>
      </c>
      <c r="AM149" s="16"/>
      <c r="AN149" s="16">
        <f t="shared" si="2"/>
        <v>0</v>
      </c>
      <c r="AO149" s="16"/>
      <c r="AP149" s="16">
        <f t="shared" si="20"/>
        <v>0</v>
      </c>
      <c r="AQ149" s="16"/>
      <c r="AR149" s="16">
        <f t="shared" si="21"/>
        <v>0</v>
      </c>
      <c r="AS149" s="16"/>
      <c r="AT149" s="16">
        <f t="shared" si="22"/>
        <v>0</v>
      </c>
      <c r="AU149" s="16"/>
      <c r="AV149" s="16">
        <f t="shared" si="23"/>
        <v>0</v>
      </c>
      <c r="AW149" s="16"/>
      <c r="AX149" s="16">
        <f t="shared" si="3"/>
        <v>0</v>
      </c>
      <c r="AY149" s="16"/>
      <c r="AZ149" s="16">
        <f t="shared" si="24"/>
        <v>0</v>
      </c>
      <c r="BA149" s="16"/>
      <c r="BB149" s="16">
        <f t="shared" si="25"/>
        <v>0</v>
      </c>
      <c r="BC149" s="11">
        <f t="shared" si="28"/>
        <v>0</v>
      </c>
      <c r="BD149" s="17"/>
      <c r="BE149" s="17"/>
      <c r="BF149" s="17"/>
      <c r="BG149" s="16">
        <f t="shared" si="5"/>
        <v>0</v>
      </c>
      <c r="BH149" s="17">
        <v>500</v>
      </c>
      <c r="BI149" s="17">
        <f>500*5900*1.16</f>
        <v>3421999.9999999995</v>
      </c>
    </row>
    <row r="150" spans="1:61" ht="12.75">
      <c r="A150" s="38">
        <v>36031</v>
      </c>
      <c r="B150" s="39" t="s">
        <v>92</v>
      </c>
      <c r="C150" s="40" t="s">
        <v>93</v>
      </c>
      <c r="D150" s="40" t="s">
        <v>821</v>
      </c>
      <c r="E150" s="17"/>
      <c r="F150" s="16">
        <f t="shared" si="0"/>
        <v>0</v>
      </c>
      <c r="G150" s="17"/>
      <c r="H150" s="16">
        <f t="shared" si="1"/>
        <v>0</v>
      </c>
      <c r="I150" s="16"/>
      <c r="J150" s="16">
        <f t="shared" si="6"/>
        <v>0</v>
      </c>
      <c r="K150" s="16"/>
      <c r="L150" s="16">
        <f t="shared" si="7"/>
        <v>0</v>
      </c>
      <c r="M150" s="16"/>
      <c r="N150" s="16">
        <f t="shared" si="8"/>
        <v>0</v>
      </c>
      <c r="O150" s="16"/>
      <c r="P150" s="16">
        <f t="shared" si="9"/>
        <v>0</v>
      </c>
      <c r="Q150" s="16"/>
      <c r="R150" s="16">
        <f t="shared" si="10"/>
        <v>0</v>
      </c>
      <c r="S150" s="16"/>
      <c r="T150" s="16">
        <f t="shared" si="11"/>
        <v>0</v>
      </c>
      <c r="U150" s="16"/>
      <c r="V150" s="16">
        <f t="shared" si="12"/>
        <v>0</v>
      </c>
      <c r="W150" s="16"/>
      <c r="X150" s="16"/>
      <c r="Y150" s="16"/>
      <c r="Z150" s="16">
        <f t="shared" si="13"/>
        <v>0</v>
      </c>
      <c r="AA150" s="16"/>
      <c r="AB150" s="16">
        <f t="shared" si="14"/>
        <v>0</v>
      </c>
      <c r="AC150" s="16"/>
      <c r="AD150" s="16">
        <f t="shared" si="15"/>
        <v>0</v>
      </c>
      <c r="AE150" s="16"/>
      <c r="AF150" s="16">
        <f t="shared" si="16"/>
        <v>0</v>
      </c>
      <c r="AG150" s="16"/>
      <c r="AH150" s="16">
        <f t="shared" si="17"/>
        <v>0</v>
      </c>
      <c r="AI150" s="16"/>
      <c r="AJ150" s="16">
        <f t="shared" si="18"/>
        <v>0</v>
      </c>
      <c r="AK150" s="16"/>
      <c r="AL150" s="16">
        <f t="shared" si="19"/>
        <v>0</v>
      </c>
      <c r="AM150" s="16"/>
      <c r="AN150" s="16">
        <f t="shared" si="2"/>
        <v>0</v>
      </c>
      <c r="AO150" s="16"/>
      <c r="AP150" s="16">
        <f t="shared" si="20"/>
        <v>0</v>
      </c>
      <c r="AQ150" s="16"/>
      <c r="AR150" s="16">
        <f t="shared" si="21"/>
        <v>0</v>
      </c>
      <c r="AS150" s="16"/>
      <c r="AT150" s="16">
        <f t="shared" si="22"/>
        <v>0</v>
      </c>
      <c r="AU150" s="16"/>
      <c r="AV150" s="16">
        <f t="shared" si="23"/>
        <v>0</v>
      </c>
      <c r="AW150" s="16"/>
      <c r="AX150" s="16">
        <f t="shared" si="3"/>
        <v>0</v>
      </c>
      <c r="AY150" s="16"/>
      <c r="AZ150" s="16">
        <f t="shared" si="24"/>
        <v>0</v>
      </c>
      <c r="BA150" s="16"/>
      <c r="BB150" s="16">
        <f t="shared" si="25"/>
        <v>0</v>
      </c>
      <c r="BC150" s="11">
        <f t="shared" si="28"/>
        <v>0</v>
      </c>
      <c r="BD150" s="17"/>
      <c r="BE150" s="17"/>
      <c r="BF150" s="17">
        <v>350</v>
      </c>
      <c r="BG150" s="16">
        <f t="shared" si="5"/>
        <v>8050000</v>
      </c>
      <c r="BH150" s="17"/>
      <c r="BI150" s="17"/>
    </row>
    <row r="151" spans="1:61" ht="12.75">
      <c r="A151" s="38">
        <v>36035</v>
      </c>
      <c r="B151" s="39" t="s">
        <v>877</v>
      </c>
      <c r="C151" s="40" t="s">
        <v>519</v>
      </c>
      <c r="D151" s="40" t="s">
        <v>821</v>
      </c>
      <c r="E151" s="17"/>
      <c r="F151" s="16">
        <f t="shared" si="0"/>
        <v>0</v>
      </c>
      <c r="G151" s="17"/>
      <c r="H151" s="16">
        <f t="shared" si="1"/>
        <v>0</v>
      </c>
      <c r="I151" s="16"/>
      <c r="J151" s="16">
        <f t="shared" si="6"/>
        <v>0</v>
      </c>
      <c r="K151" s="16">
        <v>2</v>
      </c>
      <c r="L151" s="16">
        <f t="shared" si="7"/>
        <v>13539.06</v>
      </c>
      <c r="M151" s="16"/>
      <c r="N151" s="16">
        <f t="shared" si="8"/>
        <v>0</v>
      </c>
      <c r="O151" s="16"/>
      <c r="P151" s="16">
        <f t="shared" si="9"/>
        <v>0</v>
      </c>
      <c r="Q151" s="16"/>
      <c r="R151" s="16">
        <f t="shared" si="10"/>
        <v>0</v>
      </c>
      <c r="S151" s="16"/>
      <c r="T151" s="16">
        <f t="shared" si="11"/>
        <v>0</v>
      </c>
      <c r="U151" s="16"/>
      <c r="V151" s="16">
        <f t="shared" si="12"/>
        <v>0</v>
      </c>
      <c r="W151" s="16"/>
      <c r="X151" s="16"/>
      <c r="Y151" s="16"/>
      <c r="Z151" s="16">
        <f t="shared" si="13"/>
        <v>0</v>
      </c>
      <c r="AA151" s="16"/>
      <c r="AB151" s="16">
        <f t="shared" si="14"/>
        <v>0</v>
      </c>
      <c r="AC151" s="16"/>
      <c r="AD151" s="16">
        <f t="shared" si="15"/>
        <v>0</v>
      </c>
      <c r="AE151" s="16"/>
      <c r="AF151" s="16">
        <f t="shared" si="16"/>
        <v>0</v>
      </c>
      <c r="AG151" s="16"/>
      <c r="AH151" s="16">
        <f t="shared" si="17"/>
        <v>0</v>
      </c>
      <c r="AI151" s="16"/>
      <c r="AJ151" s="16">
        <f t="shared" si="18"/>
        <v>0</v>
      </c>
      <c r="AK151" s="16"/>
      <c r="AL151" s="16">
        <f t="shared" si="19"/>
        <v>0</v>
      </c>
      <c r="AM151" s="16">
        <v>10</v>
      </c>
      <c r="AN151" s="16">
        <f t="shared" si="2"/>
        <v>2550173.1</v>
      </c>
      <c r="AO151" s="16"/>
      <c r="AP151" s="16">
        <f t="shared" si="20"/>
        <v>0</v>
      </c>
      <c r="AQ151" s="16"/>
      <c r="AR151" s="16">
        <f t="shared" si="21"/>
        <v>0</v>
      </c>
      <c r="AS151" s="16"/>
      <c r="AT151" s="16">
        <f t="shared" si="22"/>
        <v>0</v>
      </c>
      <c r="AU151" s="16"/>
      <c r="AV151" s="16">
        <f t="shared" si="23"/>
        <v>0</v>
      </c>
      <c r="AW151" s="16"/>
      <c r="AX151" s="16">
        <f t="shared" si="3"/>
        <v>0</v>
      </c>
      <c r="AY151" s="16"/>
      <c r="AZ151" s="16">
        <f t="shared" si="24"/>
        <v>0</v>
      </c>
      <c r="BA151" s="16"/>
      <c r="BB151" s="16">
        <f t="shared" si="25"/>
        <v>0</v>
      </c>
      <c r="BC151" s="11">
        <f t="shared" si="28"/>
        <v>2563712.16</v>
      </c>
      <c r="BD151" s="17">
        <v>2000</v>
      </c>
      <c r="BE151" s="17">
        <f>+BD151*440.8</f>
        <v>881600</v>
      </c>
      <c r="BF151" s="17">
        <v>430</v>
      </c>
      <c r="BG151" s="16">
        <f t="shared" si="5"/>
        <v>9890000</v>
      </c>
      <c r="BH151" s="17">
        <v>1500</v>
      </c>
      <c r="BI151" s="17">
        <f>1500*5900*1.16</f>
        <v>10266000</v>
      </c>
    </row>
    <row r="152" spans="1:61" ht="12.75">
      <c r="A152" s="38" t="s">
        <v>655</v>
      </c>
      <c r="B152" s="39" t="s">
        <v>13</v>
      </c>
      <c r="C152" s="40" t="s">
        <v>656</v>
      </c>
      <c r="D152" s="40" t="s">
        <v>911</v>
      </c>
      <c r="E152" s="17"/>
      <c r="F152" s="16">
        <f t="shared" si="0"/>
        <v>0</v>
      </c>
      <c r="G152" s="17"/>
      <c r="H152" s="16">
        <f t="shared" si="1"/>
        <v>0</v>
      </c>
      <c r="I152" s="16"/>
      <c r="J152" s="16">
        <f t="shared" si="6"/>
        <v>0</v>
      </c>
      <c r="K152" s="16"/>
      <c r="L152" s="16">
        <f t="shared" si="7"/>
        <v>0</v>
      </c>
      <c r="M152" s="16"/>
      <c r="N152" s="16">
        <f t="shared" si="8"/>
        <v>0</v>
      </c>
      <c r="O152" s="16"/>
      <c r="P152" s="16">
        <f t="shared" si="9"/>
        <v>0</v>
      </c>
      <c r="Q152" s="16"/>
      <c r="R152" s="16">
        <f t="shared" si="10"/>
        <v>0</v>
      </c>
      <c r="S152" s="16"/>
      <c r="T152" s="16">
        <f t="shared" si="11"/>
        <v>0</v>
      </c>
      <c r="U152" s="16"/>
      <c r="V152" s="16">
        <f t="shared" si="12"/>
        <v>0</v>
      </c>
      <c r="W152" s="16"/>
      <c r="X152" s="16"/>
      <c r="Y152" s="16"/>
      <c r="Z152" s="16">
        <f t="shared" si="13"/>
        <v>0</v>
      </c>
      <c r="AA152" s="16"/>
      <c r="AB152" s="16">
        <f t="shared" si="14"/>
        <v>0</v>
      </c>
      <c r="AC152" s="16"/>
      <c r="AD152" s="16">
        <f t="shared" si="15"/>
        <v>0</v>
      </c>
      <c r="AE152" s="16"/>
      <c r="AF152" s="16">
        <f t="shared" si="16"/>
        <v>0</v>
      </c>
      <c r="AG152" s="16"/>
      <c r="AH152" s="16">
        <f t="shared" si="17"/>
        <v>0</v>
      </c>
      <c r="AI152" s="16"/>
      <c r="AJ152" s="16">
        <f t="shared" si="18"/>
        <v>0</v>
      </c>
      <c r="AK152" s="16"/>
      <c r="AL152" s="16">
        <f t="shared" si="19"/>
        <v>0</v>
      </c>
      <c r="AM152" s="16"/>
      <c r="AN152" s="16">
        <f t="shared" si="2"/>
        <v>0</v>
      </c>
      <c r="AO152" s="16"/>
      <c r="AP152" s="16">
        <f t="shared" si="20"/>
        <v>0</v>
      </c>
      <c r="AQ152" s="16"/>
      <c r="AR152" s="16">
        <f t="shared" si="21"/>
        <v>0</v>
      </c>
      <c r="AS152" s="16"/>
      <c r="AT152" s="16">
        <f t="shared" si="22"/>
        <v>0</v>
      </c>
      <c r="AU152" s="16"/>
      <c r="AV152" s="16">
        <f t="shared" si="23"/>
        <v>0</v>
      </c>
      <c r="AW152" s="16"/>
      <c r="AX152" s="16">
        <f t="shared" si="3"/>
        <v>0</v>
      </c>
      <c r="AY152" s="16"/>
      <c r="AZ152" s="16">
        <f t="shared" si="24"/>
        <v>0</v>
      </c>
      <c r="BA152" s="16"/>
      <c r="BB152" s="16">
        <f t="shared" si="25"/>
        <v>0</v>
      </c>
      <c r="BC152" s="11">
        <f t="shared" si="28"/>
        <v>0</v>
      </c>
      <c r="BD152" s="17"/>
      <c r="BE152" s="17"/>
      <c r="BF152" s="17">
        <v>100</v>
      </c>
      <c r="BG152" s="16">
        <f t="shared" si="5"/>
        <v>2300000</v>
      </c>
      <c r="BH152" s="17">
        <v>200</v>
      </c>
      <c r="BI152" s="17">
        <f>200*5900*1.16</f>
        <v>1368800</v>
      </c>
    </row>
    <row r="153" spans="1:61" ht="12.75">
      <c r="A153" s="38">
        <v>36038</v>
      </c>
      <c r="B153" s="39" t="s">
        <v>658</v>
      </c>
      <c r="C153" s="40" t="s">
        <v>659</v>
      </c>
      <c r="D153" s="40" t="s">
        <v>821</v>
      </c>
      <c r="E153" s="17">
        <v>700</v>
      </c>
      <c r="F153" s="16">
        <f t="shared" si="0"/>
        <v>243600</v>
      </c>
      <c r="G153" s="17">
        <v>350</v>
      </c>
      <c r="H153" s="16">
        <f t="shared" si="1"/>
        <v>103530</v>
      </c>
      <c r="I153" s="16">
        <v>350</v>
      </c>
      <c r="J153" s="16">
        <f t="shared" si="6"/>
        <v>1461600</v>
      </c>
      <c r="K153" s="16"/>
      <c r="L153" s="16">
        <f t="shared" si="7"/>
        <v>0</v>
      </c>
      <c r="M153" s="16"/>
      <c r="N153" s="16">
        <f t="shared" si="8"/>
        <v>0</v>
      </c>
      <c r="O153" s="16"/>
      <c r="P153" s="16">
        <f t="shared" si="9"/>
        <v>0</v>
      </c>
      <c r="Q153" s="16">
        <v>1000</v>
      </c>
      <c r="R153" s="16">
        <f t="shared" si="10"/>
        <v>27260000</v>
      </c>
      <c r="S153" s="16">
        <v>1000</v>
      </c>
      <c r="T153" s="16">
        <f t="shared" si="11"/>
        <v>1885000</v>
      </c>
      <c r="U153" s="16">
        <v>1000</v>
      </c>
      <c r="V153" s="16">
        <f t="shared" si="12"/>
        <v>580640</v>
      </c>
      <c r="W153" s="16"/>
      <c r="X153" s="16"/>
      <c r="Y153" s="16"/>
      <c r="Z153" s="16">
        <f t="shared" si="13"/>
        <v>0</v>
      </c>
      <c r="AA153" s="16"/>
      <c r="AB153" s="16">
        <f t="shared" si="14"/>
        <v>0</v>
      </c>
      <c r="AC153" s="16">
        <v>1000</v>
      </c>
      <c r="AD153" s="16">
        <f t="shared" si="15"/>
        <v>626400</v>
      </c>
      <c r="AE153" s="16">
        <v>1000</v>
      </c>
      <c r="AF153" s="16">
        <f t="shared" si="16"/>
        <v>2040440</v>
      </c>
      <c r="AG153" s="16">
        <v>350</v>
      </c>
      <c r="AH153" s="16">
        <f t="shared" si="17"/>
        <v>2321102</v>
      </c>
      <c r="AI153" s="16">
        <v>1000</v>
      </c>
      <c r="AJ153" s="16">
        <f t="shared" si="18"/>
        <v>464000</v>
      </c>
      <c r="AK153" s="16">
        <v>1000</v>
      </c>
      <c r="AL153" s="16">
        <f t="shared" si="19"/>
        <v>63800</v>
      </c>
      <c r="AM153" s="16"/>
      <c r="AN153" s="16">
        <f t="shared" si="2"/>
        <v>0</v>
      </c>
      <c r="AO153" s="16">
        <v>1000</v>
      </c>
      <c r="AP153" s="16">
        <f t="shared" si="20"/>
        <v>272600</v>
      </c>
      <c r="AQ153" s="16"/>
      <c r="AR153" s="16">
        <f t="shared" si="21"/>
        <v>0</v>
      </c>
      <c r="AS153" s="16"/>
      <c r="AT153" s="16">
        <f t="shared" si="22"/>
        <v>0</v>
      </c>
      <c r="AU153" s="16"/>
      <c r="AV153" s="16">
        <f t="shared" si="23"/>
        <v>0</v>
      </c>
      <c r="AW153" s="16">
        <v>1000</v>
      </c>
      <c r="AX153" s="16">
        <f t="shared" si="3"/>
        <v>6342130</v>
      </c>
      <c r="AY153" s="16">
        <v>1000</v>
      </c>
      <c r="AZ153" s="16">
        <f t="shared" si="24"/>
        <v>3229530</v>
      </c>
      <c r="BA153" s="16">
        <v>1000</v>
      </c>
      <c r="BB153" s="16">
        <f t="shared" si="25"/>
        <v>7141470</v>
      </c>
      <c r="BC153" s="11">
        <f t="shared" si="28"/>
        <v>54035842</v>
      </c>
      <c r="BD153" s="17"/>
      <c r="BE153" s="17"/>
      <c r="BF153" s="17">
        <v>350</v>
      </c>
      <c r="BG153" s="16">
        <f t="shared" si="5"/>
        <v>8050000</v>
      </c>
      <c r="BH153" s="17"/>
      <c r="BI153" s="17"/>
    </row>
    <row r="154" spans="1:61" ht="22.5">
      <c r="A154" s="38">
        <v>36038</v>
      </c>
      <c r="B154" s="39" t="s">
        <v>658</v>
      </c>
      <c r="C154" s="40" t="s">
        <v>660</v>
      </c>
      <c r="D154" s="40" t="s">
        <v>821</v>
      </c>
      <c r="E154" s="17">
        <v>150</v>
      </c>
      <c r="F154" s="16">
        <f t="shared" si="0"/>
        <v>52200</v>
      </c>
      <c r="G154" s="17">
        <v>150</v>
      </c>
      <c r="H154" s="16">
        <f t="shared" si="1"/>
        <v>44370</v>
      </c>
      <c r="I154" s="16">
        <v>150</v>
      </c>
      <c r="J154" s="16">
        <f t="shared" si="6"/>
        <v>626400</v>
      </c>
      <c r="K154" s="16"/>
      <c r="L154" s="16">
        <f t="shared" si="7"/>
        <v>0</v>
      </c>
      <c r="M154" s="16"/>
      <c r="N154" s="16">
        <f t="shared" si="8"/>
        <v>0</v>
      </c>
      <c r="O154" s="16"/>
      <c r="P154" s="16">
        <f t="shared" si="9"/>
        <v>0</v>
      </c>
      <c r="Q154" s="16">
        <v>300</v>
      </c>
      <c r="R154" s="16">
        <f t="shared" si="10"/>
        <v>8178000</v>
      </c>
      <c r="S154" s="16">
        <v>300</v>
      </c>
      <c r="T154" s="16">
        <f t="shared" si="11"/>
        <v>565500</v>
      </c>
      <c r="U154" s="16">
        <v>300</v>
      </c>
      <c r="V154" s="16">
        <f t="shared" si="12"/>
        <v>174192</v>
      </c>
      <c r="W154" s="16"/>
      <c r="X154" s="16"/>
      <c r="Y154" s="16"/>
      <c r="Z154" s="16">
        <f t="shared" si="13"/>
        <v>0</v>
      </c>
      <c r="AA154" s="16"/>
      <c r="AB154" s="16">
        <f t="shared" si="14"/>
        <v>0</v>
      </c>
      <c r="AC154" s="16">
        <v>300</v>
      </c>
      <c r="AD154" s="16">
        <f t="shared" si="15"/>
        <v>187920</v>
      </c>
      <c r="AE154" s="16">
        <v>300</v>
      </c>
      <c r="AF154" s="16">
        <f t="shared" si="16"/>
        <v>612132</v>
      </c>
      <c r="AG154" s="16">
        <v>150</v>
      </c>
      <c r="AH154" s="16">
        <f t="shared" si="17"/>
        <v>994758</v>
      </c>
      <c r="AI154" s="16">
        <v>300</v>
      </c>
      <c r="AJ154" s="16">
        <f t="shared" si="18"/>
        <v>139200</v>
      </c>
      <c r="AK154" s="16">
        <v>300</v>
      </c>
      <c r="AL154" s="16">
        <f t="shared" si="19"/>
        <v>19140</v>
      </c>
      <c r="AM154" s="16"/>
      <c r="AN154" s="16">
        <f t="shared" si="2"/>
        <v>0</v>
      </c>
      <c r="AO154" s="16">
        <v>300</v>
      </c>
      <c r="AP154" s="16">
        <f t="shared" si="20"/>
        <v>81780</v>
      </c>
      <c r="AQ154" s="16"/>
      <c r="AR154" s="16">
        <f t="shared" si="21"/>
        <v>0</v>
      </c>
      <c r="AS154" s="16"/>
      <c r="AT154" s="16">
        <f t="shared" si="22"/>
        <v>0</v>
      </c>
      <c r="AU154" s="16"/>
      <c r="AV154" s="16">
        <f t="shared" si="23"/>
        <v>0</v>
      </c>
      <c r="AW154" s="16">
        <v>300</v>
      </c>
      <c r="AX154" s="16">
        <f t="shared" si="3"/>
        <v>1902639</v>
      </c>
      <c r="AY154" s="16">
        <v>300</v>
      </c>
      <c r="AZ154" s="16">
        <f t="shared" si="24"/>
        <v>968859.0000000001</v>
      </c>
      <c r="BA154" s="16">
        <v>300</v>
      </c>
      <c r="BB154" s="16">
        <f t="shared" si="25"/>
        <v>2142441</v>
      </c>
      <c r="BC154" s="11">
        <f t="shared" si="28"/>
        <v>16689531</v>
      </c>
      <c r="BD154" s="17"/>
      <c r="BE154" s="17"/>
      <c r="BF154" s="17">
        <v>150</v>
      </c>
      <c r="BG154" s="16">
        <f t="shared" si="5"/>
        <v>3450000</v>
      </c>
      <c r="BH154" s="17"/>
      <c r="BI154" s="17"/>
    </row>
    <row r="155" spans="1:62" ht="48">
      <c r="A155" s="38">
        <v>36038</v>
      </c>
      <c r="B155" s="39" t="s">
        <v>59</v>
      </c>
      <c r="C155" s="40" t="s">
        <v>662</v>
      </c>
      <c r="D155" s="40" t="s">
        <v>821</v>
      </c>
      <c r="E155" s="17"/>
      <c r="F155" s="16">
        <f t="shared" si="0"/>
        <v>0</v>
      </c>
      <c r="G155" s="17"/>
      <c r="H155" s="16">
        <f t="shared" si="1"/>
        <v>0</v>
      </c>
      <c r="I155" s="16"/>
      <c r="J155" s="16">
        <f t="shared" si="6"/>
        <v>0</v>
      </c>
      <c r="K155" s="16"/>
      <c r="L155" s="16">
        <f t="shared" si="7"/>
        <v>0</v>
      </c>
      <c r="M155" s="16"/>
      <c r="N155" s="16">
        <f t="shared" si="8"/>
        <v>0</v>
      </c>
      <c r="O155" s="16"/>
      <c r="P155" s="16">
        <f t="shared" si="9"/>
        <v>0</v>
      </c>
      <c r="Q155" s="16">
        <v>60</v>
      </c>
      <c r="R155" s="16">
        <f>+Q155*27840</f>
        <v>1670400</v>
      </c>
      <c r="S155" s="16"/>
      <c r="T155" s="16">
        <f>+S155*3422</f>
        <v>0</v>
      </c>
      <c r="U155" s="16"/>
      <c r="V155" s="16">
        <f>+U155*3054.1</f>
        <v>0</v>
      </c>
      <c r="W155" s="16"/>
      <c r="X155" s="16"/>
      <c r="Y155" s="16"/>
      <c r="Z155" s="16">
        <f t="shared" si="13"/>
        <v>0</v>
      </c>
      <c r="AA155" s="16"/>
      <c r="AB155" s="16">
        <f t="shared" si="14"/>
        <v>0</v>
      </c>
      <c r="AC155" s="16"/>
      <c r="AD155" s="16">
        <f>+AC155*1385</f>
        <v>0</v>
      </c>
      <c r="AE155" s="16">
        <v>60</v>
      </c>
      <c r="AF155" s="16">
        <f>+AE155*5440.4</f>
        <v>326424</v>
      </c>
      <c r="AG155" s="16">
        <v>60</v>
      </c>
      <c r="AH155" s="16">
        <f>+AG155*9571.66</f>
        <v>574299.6</v>
      </c>
      <c r="AI155" s="16"/>
      <c r="AJ155" s="16">
        <f t="shared" si="18"/>
        <v>0</v>
      </c>
      <c r="AK155" s="16"/>
      <c r="AL155" s="16">
        <f>+AK155*110.2</f>
        <v>0</v>
      </c>
      <c r="AM155" s="16"/>
      <c r="AN155" s="16">
        <f t="shared" si="2"/>
        <v>0</v>
      </c>
      <c r="AO155" s="16">
        <v>60</v>
      </c>
      <c r="AP155" s="16">
        <f>+AO155*916.4</f>
        <v>54984</v>
      </c>
      <c r="AQ155" s="16"/>
      <c r="AR155" s="16">
        <f t="shared" si="21"/>
        <v>0</v>
      </c>
      <c r="AS155" s="16">
        <v>60</v>
      </c>
      <c r="AT155" s="16">
        <f t="shared" si="22"/>
        <v>19428</v>
      </c>
      <c r="AU155" s="16"/>
      <c r="AV155" s="16">
        <f>+AU155*9802</f>
        <v>0</v>
      </c>
      <c r="AW155" s="16">
        <v>60</v>
      </c>
      <c r="AX155" s="16">
        <f>+AW155*11252</f>
        <v>675120</v>
      </c>
      <c r="AY155" s="16"/>
      <c r="AZ155" s="16">
        <f t="shared" si="24"/>
        <v>0</v>
      </c>
      <c r="BA155" s="16"/>
      <c r="BB155" s="16">
        <f t="shared" si="25"/>
        <v>0</v>
      </c>
      <c r="BC155" s="11">
        <f t="shared" si="28"/>
        <v>3320655.6</v>
      </c>
      <c r="BD155" s="17"/>
      <c r="BE155" s="17"/>
      <c r="BF155" s="17"/>
      <c r="BG155" s="16">
        <f t="shared" si="5"/>
        <v>0</v>
      </c>
      <c r="BH155" s="17"/>
      <c r="BI155" s="17"/>
      <c r="BJ155" s="56" t="s">
        <v>663</v>
      </c>
    </row>
    <row r="156" spans="1:62" ht="12.75">
      <c r="A156" s="38">
        <v>36060</v>
      </c>
      <c r="B156" s="39" t="s">
        <v>59</v>
      </c>
      <c r="C156" s="40" t="s">
        <v>215</v>
      </c>
      <c r="D156" s="40" t="s">
        <v>821</v>
      </c>
      <c r="E156" s="17">
        <v>130</v>
      </c>
      <c r="F156" s="17">
        <f t="shared" si="0"/>
        <v>45240</v>
      </c>
      <c r="G156" s="17">
        <v>130</v>
      </c>
      <c r="H156" s="17">
        <f t="shared" si="1"/>
        <v>38454</v>
      </c>
      <c r="I156" s="17">
        <v>65</v>
      </c>
      <c r="J156" s="17">
        <f t="shared" si="6"/>
        <v>271440</v>
      </c>
      <c r="K156" s="17"/>
      <c r="L156" s="17">
        <f t="shared" si="7"/>
        <v>0</v>
      </c>
      <c r="M156" s="17"/>
      <c r="N156" s="17">
        <f t="shared" si="8"/>
        <v>0</v>
      </c>
      <c r="O156" s="17"/>
      <c r="P156" s="17">
        <f t="shared" si="9"/>
        <v>0</v>
      </c>
      <c r="Q156" s="17">
        <v>65</v>
      </c>
      <c r="R156" s="17">
        <f>+Q156*27840</f>
        <v>1809600</v>
      </c>
      <c r="S156" s="17">
        <v>65</v>
      </c>
      <c r="T156" s="17">
        <f>+S156*3422</f>
        <v>222430</v>
      </c>
      <c r="U156" s="17">
        <v>65</v>
      </c>
      <c r="V156" s="17">
        <f>+U156*3054.1</f>
        <v>198516.5</v>
      </c>
      <c r="W156" s="17"/>
      <c r="X156" s="17"/>
      <c r="Y156" s="17">
        <v>130</v>
      </c>
      <c r="Z156" s="17">
        <f t="shared" si="13"/>
        <v>765310</v>
      </c>
      <c r="AA156" s="17"/>
      <c r="AB156" s="17">
        <f t="shared" si="14"/>
        <v>0</v>
      </c>
      <c r="AC156" s="17">
        <v>65</v>
      </c>
      <c r="AD156" s="17">
        <f>+AC156*1385</f>
        <v>90025</v>
      </c>
      <c r="AE156" s="17">
        <v>195</v>
      </c>
      <c r="AF156" s="17">
        <f>+AE156*5440.4</f>
        <v>1060878</v>
      </c>
      <c r="AG156" s="17">
        <v>65</v>
      </c>
      <c r="AH156" s="17">
        <f>+AG156*9571.66</f>
        <v>622157.9</v>
      </c>
      <c r="AI156" s="17"/>
      <c r="AJ156" s="17">
        <f t="shared" si="18"/>
        <v>0</v>
      </c>
      <c r="AK156" s="17">
        <v>195</v>
      </c>
      <c r="AL156" s="17">
        <f>+AK156*110.2</f>
        <v>21489</v>
      </c>
      <c r="AM156" s="17"/>
      <c r="AN156" s="17">
        <f t="shared" si="2"/>
        <v>0</v>
      </c>
      <c r="AO156" s="17">
        <v>195</v>
      </c>
      <c r="AP156" s="17">
        <f>+AO156*916.4</f>
        <v>178698</v>
      </c>
      <c r="AQ156" s="17"/>
      <c r="AR156" s="17">
        <f t="shared" si="21"/>
        <v>0</v>
      </c>
      <c r="AS156" s="17">
        <v>195</v>
      </c>
      <c r="AT156" s="17">
        <f t="shared" si="22"/>
        <v>63141</v>
      </c>
      <c r="AU156" s="17"/>
      <c r="AV156" s="17">
        <f>+AU156*9802</f>
        <v>0</v>
      </c>
      <c r="AW156" s="17">
        <v>195</v>
      </c>
      <c r="AX156" s="17">
        <f>+AW156*11252</f>
        <v>2194140</v>
      </c>
      <c r="AY156" s="17">
        <v>65</v>
      </c>
      <c r="AZ156" s="17">
        <f t="shared" si="24"/>
        <v>209919.45</v>
      </c>
      <c r="BA156" s="17"/>
      <c r="BB156" s="17">
        <f t="shared" si="25"/>
        <v>0</v>
      </c>
      <c r="BC156" s="11">
        <f t="shared" si="28"/>
        <v>7791438.850000001</v>
      </c>
      <c r="BD156" s="17">
        <v>5000</v>
      </c>
      <c r="BE156" s="17">
        <f>+BD156*440.8</f>
        <v>2204000</v>
      </c>
      <c r="BF156" s="17">
        <v>65</v>
      </c>
      <c r="BG156" s="17">
        <f t="shared" si="5"/>
        <v>1495000</v>
      </c>
      <c r="BH156" s="17"/>
      <c r="BI156" s="17"/>
      <c r="BJ156" s="56"/>
    </row>
    <row r="157" spans="1:62" ht="12.75">
      <c r="A157" s="38">
        <v>36050</v>
      </c>
      <c r="B157" s="39" t="s">
        <v>882</v>
      </c>
      <c r="C157" s="40" t="s">
        <v>305</v>
      </c>
      <c r="D157" s="40" t="s">
        <v>821</v>
      </c>
      <c r="E157" s="17">
        <v>580</v>
      </c>
      <c r="F157" s="17">
        <f t="shared" si="0"/>
        <v>201840</v>
      </c>
      <c r="G157" s="17">
        <v>580</v>
      </c>
      <c r="H157" s="17">
        <f t="shared" si="1"/>
        <v>171564</v>
      </c>
      <c r="I157" s="17"/>
      <c r="J157" s="17">
        <f t="shared" si="6"/>
        <v>0</v>
      </c>
      <c r="K157" s="17"/>
      <c r="L157" s="17">
        <f t="shared" si="7"/>
        <v>0</v>
      </c>
      <c r="M157" s="17"/>
      <c r="N157" s="17">
        <f t="shared" si="8"/>
        <v>0</v>
      </c>
      <c r="O157" s="17"/>
      <c r="P157" s="17">
        <f t="shared" si="9"/>
        <v>0</v>
      </c>
      <c r="Q157" s="17"/>
      <c r="R157" s="17">
        <f>+Q157*27840</f>
        <v>0</v>
      </c>
      <c r="S157" s="17">
        <v>290</v>
      </c>
      <c r="T157" s="17">
        <f>+S157*3422</f>
        <v>992380</v>
      </c>
      <c r="U157" s="17">
        <v>580</v>
      </c>
      <c r="V157" s="17">
        <f>+U157*3054.1</f>
        <v>1771378</v>
      </c>
      <c r="W157" s="17"/>
      <c r="X157" s="17"/>
      <c r="Y157" s="17"/>
      <c r="Z157" s="17">
        <f t="shared" si="13"/>
        <v>0</v>
      </c>
      <c r="AA157" s="17"/>
      <c r="AB157" s="17">
        <f t="shared" si="14"/>
        <v>0</v>
      </c>
      <c r="AC157" s="17">
        <v>290</v>
      </c>
      <c r="AD157" s="17">
        <f>+AC157*1385</f>
        <v>401650</v>
      </c>
      <c r="AE157" s="17"/>
      <c r="AF157" s="17">
        <f>+AE157*5440.4</f>
        <v>0</v>
      </c>
      <c r="AG157" s="17"/>
      <c r="AH157" s="17">
        <f>+AG157*9571.66</f>
        <v>0</v>
      </c>
      <c r="AI157" s="17">
        <v>580</v>
      </c>
      <c r="AJ157" s="17">
        <f t="shared" si="18"/>
        <v>269120</v>
      </c>
      <c r="AK157" s="17">
        <v>870</v>
      </c>
      <c r="AL157" s="17">
        <f>+AK157*110.2</f>
        <v>95874</v>
      </c>
      <c r="AM157" s="17"/>
      <c r="AN157" s="17">
        <f t="shared" si="2"/>
        <v>0</v>
      </c>
      <c r="AO157" s="17"/>
      <c r="AP157" s="17">
        <f>+AO157*916.4</f>
        <v>0</v>
      </c>
      <c r="AQ157" s="17"/>
      <c r="AR157" s="17">
        <f t="shared" si="21"/>
        <v>0</v>
      </c>
      <c r="AS157" s="17"/>
      <c r="AT157" s="17">
        <f t="shared" si="22"/>
        <v>0</v>
      </c>
      <c r="AU157" s="17"/>
      <c r="AV157" s="17">
        <f>+AU157*9802</f>
        <v>0</v>
      </c>
      <c r="AW157" s="17"/>
      <c r="AX157" s="17">
        <f>+AW157*11252</f>
        <v>0</v>
      </c>
      <c r="AY157" s="17">
        <v>290</v>
      </c>
      <c r="AZ157" s="17">
        <f t="shared" si="24"/>
        <v>936563.7000000001</v>
      </c>
      <c r="BA157" s="17"/>
      <c r="BB157" s="17">
        <f t="shared" si="25"/>
        <v>0</v>
      </c>
      <c r="BC157" s="11">
        <f t="shared" si="28"/>
        <v>4840369.7</v>
      </c>
      <c r="BD157" s="17"/>
      <c r="BE157" s="17"/>
      <c r="BF157" s="17">
        <v>150</v>
      </c>
      <c r="BG157" s="17">
        <f t="shared" si="5"/>
        <v>3450000</v>
      </c>
      <c r="BH157" s="17"/>
      <c r="BI157" s="17"/>
      <c r="BJ157" s="56"/>
    </row>
    <row r="158" spans="1:62" ht="12.75">
      <c r="A158" s="38">
        <v>36050</v>
      </c>
      <c r="B158" s="39" t="s">
        <v>882</v>
      </c>
      <c r="C158" s="40" t="s">
        <v>305</v>
      </c>
      <c r="D158" s="40" t="s">
        <v>821</v>
      </c>
      <c r="E158" s="17">
        <v>200</v>
      </c>
      <c r="F158" s="17">
        <f t="shared" si="0"/>
        <v>69600</v>
      </c>
      <c r="G158" s="17">
        <v>200</v>
      </c>
      <c r="H158" s="17">
        <f t="shared" si="1"/>
        <v>59160</v>
      </c>
      <c r="I158" s="17"/>
      <c r="J158" s="17">
        <f t="shared" si="6"/>
        <v>0</v>
      </c>
      <c r="K158" s="17"/>
      <c r="L158" s="17">
        <f t="shared" si="7"/>
        <v>0</v>
      </c>
      <c r="M158" s="17"/>
      <c r="N158" s="17">
        <f t="shared" si="8"/>
        <v>0</v>
      </c>
      <c r="O158" s="17"/>
      <c r="P158" s="17">
        <f t="shared" si="9"/>
        <v>0</v>
      </c>
      <c r="Q158" s="17"/>
      <c r="R158" s="17">
        <f>+Q158*27840</f>
        <v>0</v>
      </c>
      <c r="S158" s="17">
        <v>100</v>
      </c>
      <c r="T158" s="17">
        <f>+S158*3422</f>
        <v>342200</v>
      </c>
      <c r="U158" s="17">
        <v>200</v>
      </c>
      <c r="V158" s="17">
        <f>+U158*3054.1</f>
        <v>610820</v>
      </c>
      <c r="W158" s="17"/>
      <c r="X158" s="17"/>
      <c r="Y158" s="17"/>
      <c r="Z158" s="17">
        <f t="shared" si="13"/>
        <v>0</v>
      </c>
      <c r="AA158" s="17">
        <v>300</v>
      </c>
      <c r="AB158" s="17">
        <f t="shared" si="14"/>
        <v>4350000</v>
      </c>
      <c r="AC158" s="17">
        <v>100</v>
      </c>
      <c r="AD158" s="17">
        <f>+AC158*1385</f>
        <v>138500</v>
      </c>
      <c r="AE158" s="17"/>
      <c r="AF158" s="17">
        <f>+AE158*5440.4</f>
        <v>0</v>
      </c>
      <c r="AG158" s="17"/>
      <c r="AH158" s="17">
        <f>+AG158*9571.66</f>
        <v>0</v>
      </c>
      <c r="AI158" s="17">
        <v>200</v>
      </c>
      <c r="AJ158" s="17">
        <f t="shared" si="18"/>
        <v>92800</v>
      </c>
      <c r="AK158" s="17">
        <v>300</v>
      </c>
      <c r="AL158" s="17">
        <f>+AK158*110.2</f>
        <v>33060</v>
      </c>
      <c r="AM158" s="17"/>
      <c r="AN158" s="17">
        <f t="shared" si="2"/>
        <v>0</v>
      </c>
      <c r="AO158" s="17"/>
      <c r="AP158" s="17">
        <f>+AO158*916.4</f>
        <v>0</v>
      </c>
      <c r="AQ158" s="17"/>
      <c r="AR158" s="17">
        <f t="shared" si="21"/>
        <v>0</v>
      </c>
      <c r="AS158" s="17"/>
      <c r="AT158" s="17">
        <f t="shared" si="22"/>
        <v>0</v>
      </c>
      <c r="AU158" s="17">
        <v>300</v>
      </c>
      <c r="AV158" s="17">
        <f>+AU158*9802</f>
        <v>2940600</v>
      </c>
      <c r="AW158" s="17"/>
      <c r="AX158" s="17">
        <f>+AW158*11252</f>
        <v>0</v>
      </c>
      <c r="AY158" s="17">
        <v>100</v>
      </c>
      <c r="AZ158" s="17">
        <f t="shared" si="24"/>
        <v>322953</v>
      </c>
      <c r="BA158" s="17">
        <v>300</v>
      </c>
      <c r="BB158" s="17">
        <f t="shared" si="25"/>
        <v>2142441</v>
      </c>
      <c r="BC158" s="11">
        <f t="shared" si="28"/>
        <v>11102134</v>
      </c>
      <c r="BD158" s="17"/>
      <c r="BE158" s="17"/>
      <c r="BF158" s="17"/>
      <c r="BG158" s="17">
        <f t="shared" si="5"/>
        <v>0</v>
      </c>
      <c r="BH158" s="17"/>
      <c r="BI158" s="17"/>
      <c r="BJ158" s="56"/>
    </row>
    <row r="159" spans="1:62" ht="12.75">
      <c r="A159" s="38">
        <v>36060</v>
      </c>
      <c r="B159" s="39" t="s">
        <v>882</v>
      </c>
      <c r="C159" s="40" t="s">
        <v>305</v>
      </c>
      <c r="D159" s="40" t="s">
        <v>821</v>
      </c>
      <c r="E159" s="17">
        <v>110</v>
      </c>
      <c r="F159" s="17">
        <f t="shared" si="0"/>
        <v>38280</v>
      </c>
      <c r="G159" s="17">
        <v>110</v>
      </c>
      <c r="H159" s="17">
        <f t="shared" si="1"/>
        <v>32538</v>
      </c>
      <c r="I159" s="17"/>
      <c r="J159" s="17">
        <f t="shared" si="6"/>
        <v>0</v>
      </c>
      <c r="K159" s="17"/>
      <c r="L159" s="17">
        <f t="shared" si="7"/>
        <v>0</v>
      </c>
      <c r="M159" s="17"/>
      <c r="N159" s="17">
        <f t="shared" si="8"/>
        <v>0</v>
      </c>
      <c r="O159" s="17"/>
      <c r="P159" s="17">
        <f t="shared" si="9"/>
        <v>0</v>
      </c>
      <c r="Q159" s="17"/>
      <c r="R159" s="17">
        <f>+Q159*27840</f>
        <v>0</v>
      </c>
      <c r="S159" s="17">
        <v>55</v>
      </c>
      <c r="T159" s="17">
        <f>+S159*3422</f>
        <v>188210</v>
      </c>
      <c r="U159" s="17">
        <v>110</v>
      </c>
      <c r="V159" s="17">
        <f>+U159*3054.1</f>
        <v>335951</v>
      </c>
      <c r="W159" s="17"/>
      <c r="X159" s="17"/>
      <c r="Y159" s="17"/>
      <c r="Z159" s="17">
        <f t="shared" si="13"/>
        <v>0</v>
      </c>
      <c r="AA159" s="17">
        <v>165</v>
      </c>
      <c r="AB159" s="17">
        <f t="shared" si="14"/>
        <v>2392500</v>
      </c>
      <c r="AC159" s="17">
        <v>55</v>
      </c>
      <c r="AD159" s="17">
        <f>+AC159*1385</f>
        <v>76175</v>
      </c>
      <c r="AE159" s="17"/>
      <c r="AF159" s="17">
        <f>+AE159*5440.4</f>
        <v>0</v>
      </c>
      <c r="AG159" s="17"/>
      <c r="AH159" s="17">
        <f>+AG159*9571.66</f>
        <v>0</v>
      </c>
      <c r="AI159" s="17">
        <v>110</v>
      </c>
      <c r="AJ159" s="17">
        <f t="shared" si="18"/>
        <v>51040</v>
      </c>
      <c r="AK159" s="17">
        <v>165</v>
      </c>
      <c r="AL159" s="17">
        <f>+AK159*110.2</f>
        <v>18183</v>
      </c>
      <c r="AM159" s="17"/>
      <c r="AN159" s="17">
        <f t="shared" si="2"/>
        <v>0</v>
      </c>
      <c r="AO159" s="17"/>
      <c r="AP159" s="17">
        <f>+AO159*916.4</f>
        <v>0</v>
      </c>
      <c r="AQ159" s="17"/>
      <c r="AR159" s="17">
        <f t="shared" si="21"/>
        <v>0</v>
      </c>
      <c r="AS159" s="17"/>
      <c r="AT159" s="17">
        <f t="shared" si="22"/>
        <v>0</v>
      </c>
      <c r="AU159" s="17">
        <v>165</v>
      </c>
      <c r="AV159" s="17">
        <f>+AU159*9802</f>
        <v>1617330</v>
      </c>
      <c r="AW159" s="17"/>
      <c r="AX159" s="17">
        <f>+AW159*11252</f>
        <v>0</v>
      </c>
      <c r="AY159" s="17">
        <v>55</v>
      </c>
      <c r="AZ159" s="17">
        <f t="shared" si="24"/>
        <v>177624.15000000002</v>
      </c>
      <c r="BA159" s="17">
        <v>165</v>
      </c>
      <c r="BB159" s="17">
        <f t="shared" si="25"/>
        <v>1178342.55</v>
      </c>
      <c r="BC159" s="11">
        <f t="shared" si="28"/>
        <v>6106173.7</v>
      </c>
      <c r="BD159" s="17"/>
      <c r="BE159" s="17"/>
      <c r="BF159" s="17"/>
      <c r="BG159" s="17">
        <f t="shared" si="5"/>
        <v>0</v>
      </c>
      <c r="BH159" s="17"/>
      <c r="BI159" s="17"/>
      <c r="BJ159" s="56"/>
    </row>
    <row r="160" spans="1:61" ht="12.75">
      <c r="A160" s="38">
        <v>36032</v>
      </c>
      <c r="B160" s="39" t="s">
        <v>877</v>
      </c>
      <c r="C160" s="40" t="s">
        <v>474</v>
      </c>
      <c r="D160" s="40" t="s">
        <v>821</v>
      </c>
      <c r="E160" s="17"/>
      <c r="F160" s="16">
        <f t="shared" si="0"/>
        <v>0</v>
      </c>
      <c r="G160" s="17"/>
      <c r="H160" s="16">
        <f t="shared" si="1"/>
        <v>0</v>
      </c>
      <c r="I160" s="16"/>
      <c r="J160" s="16">
        <f t="shared" si="6"/>
        <v>0</v>
      </c>
      <c r="K160" s="16"/>
      <c r="L160" s="16">
        <f t="shared" si="7"/>
        <v>0</v>
      </c>
      <c r="M160" s="16"/>
      <c r="N160" s="16">
        <f t="shared" si="8"/>
        <v>0</v>
      </c>
      <c r="O160" s="16"/>
      <c r="P160" s="16">
        <f t="shared" si="9"/>
        <v>0</v>
      </c>
      <c r="Q160" s="16"/>
      <c r="R160" s="16">
        <f aca="true" t="shared" si="29" ref="R160:R265">+Q160*27840</f>
        <v>0</v>
      </c>
      <c r="S160" s="16"/>
      <c r="T160" s="16">
        <f aca="true" t="shared" si="30" ref="T160:T247">+S160*3422</f>
        <v>0</v>
      </c>
      <c r="U160" s="16"/>
      <c r="V160" s="16">
        <f aca="true" t="shared" si="31" ref="V160:V247">+U160*3054.1</f>
        <v>0</v>
      </c>
      <c r="W160" s="16"/>
      <c r="X160" s="16"/>
      <c r="Y160" s="16"/>
      <c r="Z160" s="16">
        <f t="shared" si="13"/>
        <v>0</v>
      </c>
      <c r="AA160" s="16"/>
      <c r="AB160" s="16">
        <f t="shared" si="14"/>
        <v>0</v>
      </c>
      <c r="AC160" s="16"/>
      <c r="AD160" s="16">
        <f aca="true" t="shared" si="32" ref="AD160:AD247">+AC160*1385</f>
        <v>0</v>
      </c>
      <c r="AE160" s="16"/>
      <c r="AF160" s="16">
        <f aca="true" t="shared" si="33" ref="AF160:AF283">+AE160*5440.4</f>
        <v>0</v>
      </c>
      <c r="AG160" s="16"/>
      <c r="AH160" s="16">
        <f aca="true" t="shared" si="34" ref="AH160:AH247">+AG160*9571.66</f>
        <v>0</v>
      </c>
      <c r="AI160" s="16"/>
      <c r="AJ160" s="16">
        <f t="shared" si="18"/>
        <v>0</v>
      </c>
      <c r="AK160" s="16"/>
      <c r="AL160" s="16">
        <f aca="true" t="shared" si="35" ref="AL160:AL247">+AK160*110.2</f>
        <v>0</v>
      </c>
      <c r="AM160" s="16"/>
      <c r="AN160" s="16">
        <f t="shared" si="2"/>
        <v>0</v>
      </c>
      <c r="AO160" s="16"/>
      <c r="AP160" s="16">
        <f aca="true" t="shared" si="36" ref="AP160:AP247">+AO160*916.4</f>
        <v>0</v>
      </c>
      <c r="AQ160" s="16"/>
      <c r="AR160" s="16">
        <f t="shared" si="21"/>
        <v>0</v>
      </c>
      <c r="AS160" s="16"/>
      <c r="AT160" s="16">
        <f t="shared" si="22"/>
        <v>0</v>
      </c>
      <c r="AU160" s="16"/>
      <c r="AV160" s="16">
        <f aca="true" t="shared" si="37" ref="AV160:AV283">+AU160*9802</f>
        <v>0</v>
      </c>
      <c r="AW160" s="16"/>
      <c r="AX160" s="16">
        <f aca="true" t="shared" si="38" ref="AX160:AX283">+AW160*11252</f>
        <v>0</v>
      </c>
      <c r="AY160" s="16"/>
      <c r="AZ160" s="16">
        <f t="shared" si="24"/>
        <v>0</v>
      </c>
      <c r="BA160" s="16">
        <f>300+477</f>
        <v>777</v>
      </c>
      <c r="BB160" s="16">
        <f t="shared" si="25"/>
        <v>5548922.19</v>
      </c>
      <c r="BC160" s="11">
        <f t="shared" si="28"/>
        <v>5548922.19</v>
      </c>
      <c r="BD160" s="17"/>
      <c r="BE160" s="17"/>
      <c r="BF160" s="17">
        <v>259</v>
      </c>
      <c r="BG160" s="16">
        <f t="shared" si="5"/>
        <v>5957000</v>
      </c>
      <c r="BH160" s="17"/>
      <c r="BI160" s="17"/>
    </row>
    <row r="161" spans="1:61" ht="12.75">
      <c r="A161" s="38">
        <v>35999</v>
      </c>
      <c r="B161" s="39" t="s">
        <v>877</v>
      </c>
      <c r="C161" s="40" t="s">
        <v>530</v>
      </c>
      <c r="D161" s="40" t="s">
        <v>821</v>
      </c>
      <c r="E161" s="17">
        <v>284</v>
      </c>
      <c r="F161" s="16">
        <f t="shared" si="0"/>
        <v>98832</v>
      </c>
      <c r="G161" s="17">
        <v>284</v>
      </c>
      <c r="H161" s="16">
        <f t="shared" si="1"/>
        <v>84007.2</v>
      </c>
      <c r="I161" s="16"/>
      <c r="J161" s="16">
        <f t="shared" si="6"/>
        <v>0</v>
      </c>
      <c r="K161" s="16"/>
      <c r="L161" s="16">
        <f t="shared" si="7"/>
        <v>0</v>
      </c>
      <c r="M161" s="16"/>
      <c r="N161" s="16">
        <f t="shared" si="8"/>
        <v>0</v>
      </c>
      <c r="O161" s="16"/>
      <c r="P161" s="16">
        <f t="shared" si="9"/>
        <v>0</v>
      </c>
      <c r="Q161" s="16"/>
      <c r="R161" s="16">
        <f t="shared" si="29"/>
        <v>0</v>
      </c>
      <c r="S161" s="16">
        <v>142</v>
      </c>
      <c r="T161" s="16">
        <f t="shared" si="30"/>
        <v>485924</v>
      </c>
      <c r="U161" s="16">
        <v>142</v>
      </c>
      <c r="V161" s="16">
        <f t="shared" si="31"/>
        <v>433682.2</v>
      </c>
      <c r="W161" s="16"/>
      <c r="X161" s="16"/>
      <c r="Y161" s="16">
        <v>142</v>
      </c>
      <c r="Z161" s="16">
        <f t="shared" si="13"/>
        <v>835954</v>
      </c>
      <c r="AA161" s="16"/>
      <c r="AB161" s="16">
        <f t="shared" si="14"/>
        <v>0</v>
      </c>
      <c r="AC161" s="16">
        <v>142</v>
      </c>
      <c r="AD161" s="16">
        <f t="shared" si="32"/>
        <v>196670</v>
      </c>
      <c r="AE161" s="16">
        <v>426</v>
      </c>
      <c r="AF161" s="16">
        <f t="shared" si="33"/>
        <v>2317610.4</v>
      </c>
      <c r="AG161" s="16"/>
      <c r="AH161" s="16">
        <f t="shared" si="34"/>
        <v>0</v>
      </c>
      <c r="AI161" s="16"/>
      <c r="AJ161" s="16">
        <f t="shared" si="18"/>
        <v>0</v>
      </c>
      <c r="AK161" s="16">
        <v>284</v>
      </c>
      <c r="AL161" s="16">
        <f t="shared" si="35"/>
        <v>31296.8</v>
      </c>
      <c r="AM161" s="16"/>
      <c r="AN161" s="16">
        <f t="shared" si="2"/>
        <v>0</v>
      </c>
      <c r="AO161" s="16">
        <v>426</v>
      </c>
      <c r="AP161" s="16">
        <f t="shared" si="36"/>
        <v>390386.39999999997</v>
      </c>
      <c r="AQ161" s="16"/>
      <c r="AR161" s="16">
        <f t="shared" si="21"/>
        <v>0</v>
      </c>
      <c r="AS161" s="16">
        <v>426</v>
      </c>
      <c r="AT161" s="16">
        <f t="shared" si="22"/>
        <v>137938.80000000002</v>
      </c>
      <c r="AU161" s="16">
        <v>426</v>
      </c>
      <c r="AV161" s="16">
        <f t="shared" si="37"/>
        <v>4175652</v>
      </c>
      <c r="AW161" s="16">
        <v>426</v>
      </c>
      <c r="AX161" s="16">
        <f t="shared" si="38"/>
        <v>4793352</v>
      </c>
      <c r="AY161" s="16">
        <v>284</v>
      </c>
      <c r="AZ161" s="16">
        <f t="shared" si="24"/>
        <v>917186.52</v>
      </c>
      <c r="BA161" s="16">
        <v>426</v>
      </c>
      <c r="BB161" s="16">
        <f t="shared" si="25"/>
        <v>3042266.22</v>
      </c>
      <c r="BC161" s="11">
        <f t="shared" si="28"/>
        <v>17940758.54</v>
      </c>
      <c r="BD161" s="17"/>
      <c r="BE161" s="17"/>
      <c r="BF161" s="17"/>
      <c r="BG161" s="16">
        <f t="shared" si="5"/>
        <v>0</v>
      </c>
      <c r="BH161" s="17"/>
      <c r="BI161" s="17"/>
    </row>
    <row r="162" spans="1:61" ht="12.75">
      <c r="A162" s="38">
        <v>36046</v>
      </c>
      <c r="B162" s="39" t="s">
        <v>34</v>
      </c>
      <c r="C162" s="40" t="s">
        <v>683</v>
      </c>
      <c r="D162" s="40" t="s">
        <v>107</v>
      </c>
      <c r="E162" s="17"/>
      <c r="F162" s="16">
        <f t="shared" si="0"/>
        <v>0</v>
      </c>
      <c r="G162" s="17"/>
      <c r="H162" s="16">
        <f t="shared" si="1"/>
        <v>0</v>
      </c>
      <c r="I162" s="16"/>
      <c r="J162" s="16">
        <f t="shared" si="6"/>
        <v>0</v>
      </c>
      <c r="K162" s="16"/>
      <c r="L162" s="16">
        <f t="shared" si="7"/>
        <v>0</v>
      </c>
      <c r="M162" s="16"/>
      <c r="N162" s="16">
        <f t="shared" si="8"/>
        <v>0</v>
      </c>
      <c r="O162" s="16"/>
      <c r="P162" s="16">
        <f t="shared" si="9"/>
        <v>0</v>
      </c>
      <c r="Q162" s="16">
        <v>225</v>
      </c>
      <c r="R162" s="16">
        <f t="shared" si="29"/>
        <v>6264000</v>
      </c>
      <c r="S162" s="16"/>
      <c r="T162" s="16">
        <f t="shared" si="30"/>
        <v>0</v>
      </c>
      <c r="U162" s="16"/>
      <c r="V162" s="16">
        <f t="shared" si="31"/>
        <v>0</v>
      </c>
      <c r="W162" s="16"/>
      <c r="X162" s="16"/>
      <c r="Y162" s="16"/>
      <c r="Z162" s="16">
        <f t="shared" si="13"/>
        <v>0</v>
      </c>
      <c r="AA162" s="16"/>
      <c r="AB162" s="16">
        <f t="shared" si="14"/>
        <v>0</v>
      </c>
      <c r="AC162" s="16"/>
      <c r="AD162" s="16">
        <f t="shared" si="32"/>
        <v>0</v>
      </c>
      <c r="AE162" s="16"/>
      <c r="AF162" s="16">
        <f t="shared" si="33"/>
        <v>0</v>
      </c>
      <c r="AG162" s="16"/>
      <c r="AH162" s="16">
        <f t="shared" si="34"/>
        <v>0</v>
      </c>
      <c r="AI162" s="16"/>
      <c r="AJ162" s="16">
        <f t="shared" si="18"/>
        <v>0</v>
      </c>
      <c r="AK162" s="16"/>
      <c r="AL162" s="16">
        <f t="shared" si="35"/>
        <v>0</v>
      </c>
      <c r="AM162" s="16"/>
      <c r="AN162" s="16">
        <f t="shared" si="2"/>
        <v>0</v>
      </c>
      <c r="AO162" s="16"/>
      <c r="AP162" s="16">
        <f t="shared" si="36"/>
        <v>0</v>
      </c>
      <c r="AQ162" s="16"/>
      <c r="AR162" s="16">
        <f t="shared" si="21"/>
        <v>0</v>
      </c>
      <c r="AS162" s="16"/>
      <c r="AT162" s="16">
        <f t="shared" si="22"/>
        <v>0</v>
      </c>
      <c r="AU162" s="16"/>
      <c r="AV162" s="16">
        <f t="shared" si="37"/>
        <v>0</v>
      </c>
      <c r="AW162" s="16">
        <v>225</v>
      </c>
      <c r="AX162" s="16">
        <f t="shared" si="38"/>
        <v>2531700</v>
      </c>
      <c r="AY162" s="16"/>
      <c r="AZ162" s="16">
        <f t="shared" si="24"/>
        <v>0</v>
      </c>
      <c r="BA162" s="16"/>
      <c r="BB162" s="16">
        <f t="shared" si="25"/>
        <v>0</v>
      </c>
      <c r="BC162" s="11">
        <f t="shared" si="28"/>
        <v>8795700</v>
      </c>
      <c r="BD162" s="17"/>
      <c r="BE162" s="17"/>
      <c r="BF162" s="17"/>
      <c r="BG162" s="16">
        <f t="shared" si="5"/>
        <v>0</v>
      </c>
      <c r="BH162" s="17"/>
      <c r="BI162" s="17"/>
    </row>
    <row r="163" spans="1:61" ht="12.75">
      <c r="A163" s="58">
        <v>36049</v>
      </c>
      <c r="B163" s="52" t="s">
        <v>488</v>
      </c>
      <c r="C163" s="52" t="s">
        <v>875</v>
      </c>
      <c r="D163" s="52" t="s">
        <v>821</v>
      </c>
      <c r="E163" s="17"/>
      <c r="F163" s="16">
        <f t="shared" si="0"/>
        <v>0</v>
      </c>
      <c r="G163" s="17"/>
      <c r="H163" s="16">
        <f t="shared" si="1"/>
        <v>0</v>
      </c>
      <c r="I163" s="16">
        <v>370</v>
      </c>
      <c r="J163" s="16">
        <f t="shared" si="6"/>
        <v>1545120</v>
      </c>
      <c r="K163" s="16"/>
      <c r="L163" s="16">
        <f t="shared" si="7"/>
        <v>0</v>
      </c>
      <c r="M163" s="16"/>
      <c r="N163" s="16">
        <f t="shared" si="8"/>
        <v>0</v>
      </c>
      <c r="O163" s="16"/>
      <c r="P163" s="16">
        <f t="shared" si="9"/>
        <v>0</v>
      </c>
      <c r="Q163" s="16">
        <v>1110</v>
      </c>
      <c r="R163" s="16">
        <f t="shared" si="29"/>
        <v>30902400</v>
      </c>
      <c r="S163" s="16"/>
      <c r="T163" s="16">
        <f t="shared" si="30"/>
        <v>0</v>
      </c>
      <c r="U163" s="16"/>
      <c r="V163" s="16">
        <f t="shared" si="31"/>
        <v>0</v>
      </c>
      <c r="W163" s="16"/>
      <c r="X163" s="16"/>
      <c r="Y163" s="16">
        <v>370</v>
      </c>
      <c r="Z163" s="16">
        <f t="shared" si="13"/>
        <v>2178190</v>
      </c>
      <c r="AA163" s="16">
        <v>1110</v>
      </c>
      <c r="AB163" s="16">
        <f t="shared" si="14"/>
        <v>16095000</v>
      </c>
      <c r="AC163" s="16"/>
      <c r="AD163" s="16">
        <f t="shared" si="32"/>
        <v>0</v>
      </c>
      <c r="AE163" s="16">
        <v>1110</v>
      </c>
      <c r="AF163" s="16">
        <f t="shared" si="33"/>
        <v>6038844</v>
      </c>
      <c r="AG163" s="16">
        <v>370</v>
      </c>
      <c r="AH163" s="16">
        <f t="shared" si="34"/>
        <v>3541514.1999999997</v>
      </c>
      <c r="AI163" s="16"/>
      <c r="AJ163" s="16">
        <f t="shared" si="18"/>
        <v>0</v>
      </c>
      <c r="AK163" s="16"/>
      <c r="AL163" s="16">
        <f t="shared" si="35"/>
        <v>0</v>
      </c>
      <c r="AM163" s="16"/>
      <c r="AN163" s="16">
        <f t="shared" si="2"/>
        <v>0</v>
      </c>
      <c r="AO163" s="16">
        <v>1110</v>
      </c>
      <c r="AP163" s="16">
        <f t="shared" si="36"/>
        <v>1017204</v>
      </c>
      <c r="AQ163" s="16">
        <v>1110</v>
      </c>
      <c r="AR163" s="16">
        <f t="shared" si="21"/>
        <v>360528</v>
      </c>
      <c r="AS163" s="16"/>
      <c r="AT163" s="16">
        <f t="shared" si="22"/>
        <v>0</v>
      </c>
      <c r="AU163" s="16">
        <v>1110</v>
      </c>
      <c r="AV163" s="16">
        <f t="shared" si="37"/>
        <v>10880220</v>
      </c>
      <c r="AW163" s="16">
        <v>1110</v>
      </c>
      <c r="AX163" s="16">
        <f t="shared" si="38"/>
        <v>12489720</v>
      </c>
      <c r="AY163" s="16"/>
      <c r="AZ163" s="16">
        <f t="shared" si="24"/>
        <v>0</v>
      </c>
      <c r="BA163" s="16">
        <v>1110</v>
      </c>
      <c r="BB163" s="16">
        <f t="shared" si="25"/>
        <v>7927031.7</v>
      </c>
      <c r="BC163" s="11">
        <f t="shared" si="28"/>
        <v>92975771.9</v>
      </c>
      <c r="BD163" s="17"/>
      <c r="BE163" s="17"/>
      <c r="BF163" s="17"/>
      <c r="BG163" s="16">
        <f t="shared" si="5"/>
        <v>0</v>
      </c>
      <c r="BH163" s="17"/>
      <c r="BI163" s="17"/>
    </row>
    <row r="164" spans="1:61" ht="12.75">
      <c r="A164" s="38">
        <v>36008</v>
      </c>
      <c r="B164" s="39" t="s">
        <v>904</v>
      </c>
      <c r="C164" s="40" t="s">
        <v>685</v>
      </c>
      <c r="D164" s="40" t="s">
        <v>911</v>
      </c>
      <c r="E164" s="17"/>
      <c r="F164" s="16">
        <f t="shared" si="0"/>
        <v>0</v>
      </c>
      <c r="G164" s="17"/>
      <c r="H164" s="16">
        <f t="shared" si="1"/>
        <v>0</v>
      </c>
      <c r="I164" s="16"/>
      <c r="J164" s="16">
        <f t="shared" si="6"/>
        <v>0</v>
      </c>
      <c r="K164" s="16"/>
      <c r="L164" s="16">
        <f t="shared" si="7"/>
        <v>0</v>
      </c>
      <c r="M164" s="16"/>
      <c r="N164" s="16">
        <f t="shared" si="8"/>
        <v>0</v>
      </c>
      <c r="O164" s="16"/>
      <c r="P164" s="16">
        <f t="shared" si="9"/>
        <v>0</v>
      </c>
      <c r="Q164" s="16"/>
      <c r="R164" s="16">
        <f t="shared" si="29"/>
        <v>0</v>
      </c>
      <c r="S164" s="16"/>
      <c r="T164" s="16">
        <f t="shared" si="30"/>
        <v>0</v>
      </c>
      <c r="U164" s="16"/>
      <c r="V164" s="16">
        <f t="shared" si="31"/>
        <v>0</v>
      </c>
      <c r="W164" s="16"/>
      <c r="X164" s="16"/>
      <c r="Y164" s="16"/>
      <c r="Z164" s="16">
        <f t="shared" si="13"/>
        <v>0</v>
      </c>
      <c r="AA164" s="16"/>
      <c r="AB164" s="16">
        <f t="shared" si="14"/>
        <v>0</v>
      </c>
      <c r="AC164" s="16"/>
      <c r="AD164" s="16">
        <f t="shared" si="32"/>
        <v>0</v>
      </c>
      <c r="AE164" s="16"/>
      <c r="AF164" s="16">
        <f t="shared" si="33"/>
        <v>0</v>
      </c>
      <c r="AG164" s="16"/>
      <c r="AH164" s="16">
        <f t="shared" si="34"/>
        <v>0</v>
      </c>
      <c r="AI164" s="16"/>
      <c r="AJ164" s="16">
        <f t="shared" si="18"/>
        <v>0</v>
      </c>
      <c r="AK164" s="16"/>
      <c r="AL164" s="16">
        <f t="shared" si="35"/>
        <v>0</v>
      </c>
      <c r="AM164" s="16"/>
      <c r="AN164" s="16">
        <f t="shared" si="2"/>
        <v>0</v>
      </c>
      <c r="AO164" s="16"/>
      <c r="AP164" s="16">
        <f t="shared" si="36"/>
        <v>0</v>
      </c>
      <c r="AQ164" s="16"/>
      <c r="AR164" s="16">
        <f t="shared" si="21"/>
        <v>0</v>
      </c>
      <c r="AS164" s="16"/>
      <c r="AT164" s="16">
        <f t="shared" si="22"/>
        <v>0</v>
      </c>
      <c r="AU164" s="16"/>
      <c r="AV164" s="16">
        <f t="shared" si="37"/>
        <v>0</v>
      </c>
      <c r="AW164" s="16"/>
      <c r="AX164" s="16">
        <f t="shared" si="38"/>
        <v>0</v>
      </c>
      <c r="AY164" s="16"/>
      <c r="AZ164" s="16">
        <f t="shared" si="24"/>
        <v>0</v>
      </c>
      <c r="BA164" s="16"/>
      <c r="BB164" s="16">
        <f t="shared" si="25"/>
        <v>0</v>
      </c>
      <c r="BC164" s="11">
        <f t="shared" si="28"/>
        <v>0</v>
      </c>
      <c r="BD164" s="17"/>
      <c r="BE164" s="17"/>
      <c r="BF164" s="17"/>
      <c r="BG164" s="16">
        <f t="shared" si="5"/>
        <v>0</v>
      </c>
      <c r="BH164" s="17">
        <f>129*2</f>
        <v>258</v>
      </c>
      <c r="BI164" s="17">
        <f>258*5900*1.16</f>
        <v>1765751.9999999998</v>
      </c>
    </row>
    <row r="165" spans="1:61" ht="12.75">
      <c r="A165" s="38">
        <v>36008</v>
      </c>
      <c r="B165" s="39" t="s">
        <v>904</v>
      </c>
      <c r="C165" s="40" t="s">
        <v>686</v>
      </c>
      <c r="D165" s="40" t="s">
        <v>911</v>
      </c>
      <c r="E165" s="17"/>
      <c r="F165" s="16">
        <f t="shared" si="0"/>
        <v>0</v>
      </c>
      <c r="G165" s="17"/>
      <c r="H165" s="16">
        <f t="shared" si="1"/>
        <v>0</v>
      </c>
      <c r="I165" s="16"/>
      <c r="J165" s="16">
        <f t="shared" si="6"/>
        <v>0</v>
      </c>
      <c r="K165" s="16"/>
      <c r="L165" s="16">
        <f t="shared" si="7"/>
        <v>0</v>
      </c>
      <c r="M165" s="16"/>
      <c r="N165" s="16">
        <f t="shared" si="8"/>
        <v>0</v>
      </c>
      <c r="O165" s="16"/>
      <c r="P165" s="16">
        <f t="shared" si="9"/>
        <v>0</v>
      </c>
      <c r="Q165" s="16"/>
      <c r="R165" s="16">
        <f t="shared" si="29"/>
        <v>0</v>
      </c>
      <c r="S165" s="16"/>
      <c r="T165" s="16">
        <f t="shared" si="30"/>
        <v>0</v>
      </c>
      <c r="U165" s="16"/>
      <c r="V165" s="16">
        <f t="shared" si="31"/>
        <v>0</v>
      </c>
      <c r="W165" s="16"/>
      <c r="X165" s="16"/>
      <c r="Y165" s="16"/>
      <c r="Z165" s="16">
        <f t="shared" si="13"/>
        <v>0</v>
      </c>
      <c r="AA165" s="16"/>
      <c r="AB165" s="16">
        <f t="shared" si="14"/>
        <v>0</v>
      </c>
      <c r="AC165" s="16"/>
      <c r="AD165" s="16">
        <f t="shared" si="32"/>
        <v>0</v>
      </c>
      <c r="AE165" s="16"/>
      <c r="AF165" s="16">
        <f t="shared" si="33"/>
        <v>0</v>
      </c>
      <c r="AG165" s="16"/>
      <c r="AH165" s="16">
        <f t="shared" si="34"/>
        <v>0</v>
      </c>
      <c r="AI165" s="16"/>
      <c r="AJ165" s="16">
        <f t="shared" si="18"/>
        <v>0</v>
      </c>
      <c r="AK165" s="16"/>
      <c r="AL165" s="16">
        <f t="shared" si="35"/>
        <v>0</v>
      </c>
      <c r="AM165" s="16"/>
      <c r="AN165" s="16">
        <f t="shared" si="2"/>
        <v>0</v>
      </c>
      <c r="AO165" s="16"/>
      <c r="AP165" s="16">
        <f t="shared" si="36"/>
        <v>0</v>
      </c>
      <c r="AQ165" s="16"/>
      <c r="AR165" s="16">
        <f t="shared" si="21"/>
        <v>0</v>
      </c>
      <c r="AS165" s="16"/>
      <c r="AT165" s="16">
        <f t="shared" si="22"/>
        <v>0</v>
      </c>
      <c r="AU165" s="16"/>
      <c r="AV165" s="16">
        <f t="shared" si="37"/>
        <v>0</v>
      </c>
      <c r="AW165" s="16"/>
      <c r="AX165" s="16">
        <f t="shared" si="38"/>
        <v>0</v>
      </c>
      <c r="AY165" s="16"/>
      <c r="AZ165" s="16">
        <f t="shared" si="24"/>
        <v>0</v>
      </c>
      <c r="BA165" s="16"/>
      <c r="BB165" s="16">
        <f t="shared" si="25"/>
        <v>0</v>
      </c>
      <c r="BC165" s="11">
        <f t="shared" si="28"/>
        <v>0</v>
      </c>
      <c r="BD165" s="17"/>
      <c r="BE165" s="17"/>
      <c r="BF165" s="17"/>
      <c r="BG165" s="16">
        <f t="shared" si="5"/>
        <v>0</v>
      </c>
      <c r="BH165" s="17">
        <f>237*2</f>
        <v>474</v>
      </c>
      <c r="BI165" s="17">
        <f>474*5900*1.16</f>
        <v>3244056</v>
      </c>
    </row>
    <row r="166" spans="1:61" ht="12.75">
      <c r="A166" s="38">
        <v>36008</v>
      </c>
      <c r="B166" s="39" t="s">
        <v>904</v>
      </c>
      <c r="C166" s="40" t="s">
        <v>687</v>
      </c>
      <c r="D166" s="40" t="s">
        <v>911</v>
      </c>
      <c r="E166" s="17"/>
      <c r="F166" s="16">
        <f t="shared" si="0"/>
        <v>0</v>
      </c>
      <c r="G166" s="17"/>
      <c r="H166" s="16">
        <f t="shared" si="1"/>
        <v>0</v>
      </c>
      <c r="I166" s="16"/>
      <c r="J166" s="16">
        <f t="shared" si="6"/>
        <v>0</v>
      </c>
      <c r="K166" s="16"/>
      <c r="L166" s="16">
        <f t="shared" si="7"/>
        <v>0</v>
      </c>
      <c r="M166" s="16"/>
      <c r="N166" s="16">
        <f t="shared" si="8"/>
        <v>0</v>
      </c>
      <c r="O166" s="16"/>
      <c r="P166" s="16">
        <f t="shared" si="9"/>
        <v>0</v>
      </c>
      <c r="Q166" s="16"/>
      <c r="R166" s="16">
        <f t="shared" si="29"/>
        <v>0</v>
      </c>
      <c r="S166" s="16"/>
      <c r="T166" s="16">
        <f t="shared" si="30"/>
        <v>0</v>
      </c>
      <c r="U166" s="16"/>
      <c r="V166" s="16">
        <f t="shared" si="31"/>
        <v>0</v>
      </c>
      <c r="W166" s="16"/>
      <c r="X166" s="16"/>
      <c r="Y166" s="16"/>
      <c r="Z166" s="16">
        <f t="shared" si="13"/>
        <v>0</v>
      </c>
      <c r="AA166" s="16"/>
      <c r="AB166" s="16">
        <f t="shared" si="14"/>
        <v>0</v>
      </c>
      <c r="AC166" s="16"/>
      <c r="AD166" s="16">
        <f t="shared" si="32"/>
        <v>0</v>
      </c>
      <c r="AE166" s="16"/>
      <c r="AF166" s="16">
        <f t="shared" si="33"/>
        <v>0</v>
      </c>
      <c r="AG166" s="16"/>
      <c r="AH166" s="16">
        <f t="shared" si="34"/>
        <v>0</v>
      </c>
      <c r="AI166" s="16"/>
      <c r="AJ166" s="16">
        <f t="shared" si="18"/>
        <v>0</v>
      </c>
      <c r="AK166" s="16"/>
      <c r="AL166" s="16">
        <f t="shared" si="35"/>
        <v>0</v>
      </c>
      <c r="AM166" s="16"/>
      <c r="AN166" s="16">
        <f t="shared" si="2"/>
        <v>0</v>
      </c>
      <c r="AO166" s="16"/>
      <c r="AP166" s="16">
        <f t="shared" si="36"/>
        <v>0</v>
      </c>
      <c r="AQ166" s="16"/>
      <c r="AR166" s="16">
        <f t="shared" si="21"/>
        <v>0</v>
      </c>
      <c r="AS166" s="16"/>
      <c r="AT166" s="16">
        <f t="shared" si="22"/>
        <v>0</v>
      </c>
      <c r="AU166" s="16"/>
      <c r="AV166" s="16">
        <f t="shared" si="37"/>
        <v>0</v>
      </c>
      <c r="AW166" s="16"/>
      <c r="AX166" s="16">
        <f t="shared" si="38"/>
        <v>0</v>
      </c>
      <c r="AY166" s="16"/>
      <c r="AZ166" s="16">
        <f t="shared" si="24"/>
        <v>0</v>
      </c>
      <c r="BA166" s="16"/>
      <c r="BB166" s="16">
        <f t="shared" si="25"/>
        <v>0</v>
      </c>
      <c r="BC166" s="11">
        <f t="shared" si="28"/>
        <v>0</v>
      </c>
      <c r="BD166" s="17"/>
      <c r="BE166" s="17"/>
      <c r="BF166" s="17"/>
      <c r="BG166" s="16">
        <f t="shared" si="5"/>
        <v>0</v>
      </c>
      <c r="BH166" s="17">
        <f>69*2</f>
        <v>138</v>
      </c>
      <c r="BI166" s="17">
        <f>138*5900*1.16</f>
        <v>944471.9999999999</v>
      </c>
    </row>
    <row r="167" spans="1:61" ht="22.5">
      <c r="A167" s="38">
        <v>36008</v>
      </c>
      <c r="B167" s="39" t="s">
        <v>904</v>
      </c>
      <c r="C167" s="40" t="s">
        <v>688</v>
      </c>
      <c r="D167" s="40" t="s">
        <v>911</v>
      </c>
      <c r="E167" s="17"/>
      <c r="F167" s="16">
        <f t="shared" si="0"/>
        <v>0</v>
      </c>
      <c r="G167" s="17"/>
      <c r="H167" s="16">
        <f t="shared" si="1"/>
        <v>0</v>
      </c>
      <c r="I167" s="16"/>
      <c r="J167" s="16">
        <f t="shared" si="6"/>
        <v>0</v>
      </c>
      <c r="K167" s="16"/>
      <c r="L167" s="16">
        <f t="shared" si="7"/>
        <v>0</v>
      </c>
      <c r="M167" s="16"/>
      <c r="N167" s="16">
        <f t="shared" si="8"/>
        <v>0</v>
      </c>
      <c r="O167" s="16"/>
      <c r="P167" s="16">
        <f t="shared" si="9"/>
        <v>0</v>
      </c>
      <c r="Q167" s="16"/>
      <c r="R167" s="16">
        <f t="shared" si="29"/>
        <v>0</v>
      </c>
      <c r="S167" s="16"/>
      <c r="T167" s="16">
        <f t="shared" si="30"/>
        <v>0</v>
      </c>
      <c r="U167" s="16"/>
      <c r="V167" s="16">
        <f t="shared" si="31"/>
        <v>0</v>
      </c>
      <c r="W167" s="16"/>
      <c r="X167" s="16"/>
      <c r="Y167" s="16"/>
      <c r="Z167" s="16">
        <f t="shared" si="13"/>
        <v>0</v>
      </c>
      <c r="AA167" s="16"/>
      <c r="AB167" s="16">
        <f t="shared" si="14"/>
        <v>0</v>
      </c>
      <c r="AC167" s="16"/>
      <c r="AD167" s="16">
        <f t="shared" si="32"/>
        <v>0</v>
      </c>
      <c r="AE167" s="16"/>
      <c r="AF167" s="16">
        <f t="shared" si="33"/>
        <v>0</v>
      </c>
      <c r="AG167" s="16"/>
      <c r="AH167" s="16">
        <f t="shared" si="34"/>
        <v>0</v>
      </c>
      <c r="AI167" s="16"/>
      <c r="AJ167" s="16">
        <f t="shared" si="18"/>
        <v>0</v>
      </c>
      <c r="AK167" s="16"/>
      <c r="AL167" s="16">
        <f t="shared" si="35"/>
        <v>0</v>
      </c>
      <c r="AM167" s="16"/>
      <c r="AN167" s="16">
        <f t="shared" si="2"/>
        <v>0</v>
      </c>
      <c r="AO167" s="16"/>
      <c r="AP167" s="16">
        <f t="shared" si="36"/>
        <v>0</v>
      </c>
      <c r="AQ167" s="16"/>
      <c r="AR167" s="16">
        <f t="shared" si="21"/>
        <v>0</v>
      </c>
      <c r="AS167" s="16"/>
      <c r="AT167" s="16">
        <f t="shared" si="22"/>
        <v>0</v>
      </c>
      <c r="AU167" s="16"/>
      <c r="AV167" s="16">
        <f t="shared" si="37"/>
        <v>0</v>
      </c>
      <c r="AW167" s="16"/>
      <c r="AX167" s="16">
        <f t="shared" si="38"/>
        <v>0</v>
      </c>
      <c r="AY167" s="16"/>
      <c r="AZ167" s="16">
        <f t="shared" si="24"/>
        <v>0</v>
      </c>
      <c r="BA167" s="16"/>
      <c r="BB167" s="16">
        <f t="shared" si="25"/>
        <v>0</v>
      </c>
      <c r="BC167" s="11">
        <f t="shared" si="28"/>
        <v>0</v>
      </c>
      <c r="BD167" s="17"/>
      <c r="BE167" s="17"/>
      <c r="BF167" s="17"/>
      <c r="BG167" s="16">
        <f t="shared" si="5"/>
        <v>0</v>
      </c>
      <c r="BH167" s="17">
        <f>65*2</f>
        <v>130</v>
      </c>
      <c r="BI167" s="17">
        <f>130*5900*1.16</f>
        <v>889719.9999999999</v>
      </c>
    </row>
    <row r="168" spans="1:61" ht="12.75">
      <c r="A168" s="38">
        <v>36008</v>
      </c>
      <c r="B168" s="39" t="s">
        <v>904</v>
      </c>
      <c r="C168" s="40" t="s">
        <v>689</v>
      </c>
      <c r="D168" s="40" t="s">
        <v>911</v>
      </c>
      <c r="E168" s="17"/>
      <c r="F168" s="16">
        <f t="shared" si="0"/>
        <v>0</v>
      </c>
      <c r="G168" s="17"/>
      <c r="H168" s="16">
        <f t="shared" si="1"/>
        <v>0</v>
      </c>
      <c r="I168" s="16"/>
      <c r="J168" s="16">
        <f t="shared" si="6"/>
        <v>0</v>
      </c>
      <c r="K168" s="16"/>
      <c r="L168" s="16">
        <f t="shared" si="7"/>
        <v>0</v>
      </c>
      <c r="M168" s="16"/>
      <c r="N168" s="16">
        <f t="shared" si="8"/>
        <v>0</v>
      </c>
      <c r="O168" s="16"/>
      <c r="P168" s="16">
        <f t="shared" si="9"/>
        <v>0</v>
      </c>
      <c r="Q168" s="16"/>
      <c r="R168" s="16">
        <f t="shared" si="29"/>
        <v>0</v>
      </c>
      <c r="S168" s="16"/>
      <c r="T168" s="16">
        <f t="shared" si="30"/>
        <v>0</v>
      </c>
      <c r="U168" s="16"/>
      <c r="V168" s="16">
        <f t="shared" si="31"/>
        <v>0</v>
      </c>
      <c r="W168" s="16"/>
      <c r="X168" s="16"/>
      <c r="Y168" s="16"/>
      <c r="Z168" s="16">
        <f t="shared" si="13"/>
        <v>0</v>
      </c>
      <c r="AA168" s="16"/>
      <c r="AB168" s="16">
        <f t="shared" si="14"/>
        <v>0</v>
      </c>
      <c r="AC168" s="16"/>
      <c r="AD168" s="16">
        <f t="shared" si="32"/>
        <v>0</v>
      </c>
      <c r="AE168" s="16"/>
      <c r="AF168" s="16">
        <f t="shared" si="33"/>
        <v>0</v>
      </c>
      <c r="AG168" s="16"/>
      <c r="AH168" s="16">
        <f t="shared" si="34"/>
        <v>0</v>
      </c>
      <c r="AI168" s="16"/>
      <c r="AJ168" s="16">
        <f t="shared" si="18"/>
        <v>0</v>
      </c>
      <c r="AK168" s="16"/>
      <c r="AL168" s="16">
        <f t="shared" si="35"/>
        <v>0</v>
      </c>
      <c r="AM168" s="16"/>
      <c r="AN168" s="16">
        <f t="shared" si="2"/>
        <v>0</v>
      </c>
      <c r="AO168" s="16"/>
      <c r="AP168" s="16">
        <f t="shared" si="36"/>
        <v>0</v>
      </c>
      <c r="AQ168" s="16"/>
      <c r="AR168" s="16">
        <f t="shared" si="21"/>
        <v>0</v>
      </c>
      <c r="AS168" s="16"/>
      <c r="AT168" s="16">
        <f t="shared" si="22"/>
        <v>0</v>
      </c>
      <c r="AU168" s="16"/>
      <c r="AV168" s="16">
        <f t="shared" si="37"/>
        <v>0</v>
      </c>
      <c r="AW168" s="16"/>
      <c r="AX168" s="16">
        <f t="shared" si="38"/>
        <v>0</v>
      </c>
      <c r="AY168" s="16"/>
      <c r="AZ168" s="16">
        <f t="shared" si="24"/>
        <v>0</v>
      </c>
      <c r="BA168" s="16"/>
      <c r="BB168" s="16">
        <f t="shared" si="25"/>
        <v>0</v>
      </c>
      <c r="BC168" s="11">
        <f t="shared" si="28"/>
        <v>0</v>
      </c>
      <c r="BD168" s="17"/>
      <c r="BE168" s="17"/>
      <c r="BF168" s="17"/>
      <c r="BG168" s="16">
        <f t="shared" si="5"/>
        <v>0</v>
      </c>
      <c r="BH168" s="17">
        <f>246*2</f>
        <v>492</v>
      </c>
      <c r="BI168" s="17">
        <f>492*5900*1.16</f>
        <v>3367248</v>
      </c>
    </row>
    <row r="169" spans="1:61" ht="12.75">
      <c r="A169" s="38">
        <v>36008</v>
      </c>
      <c r="B169" s="39" t="s">
        <v>904</v>
      </c>
      <c r="C169" s="40" t="s">
        <v>690</v>
      </c>
      <c r="D169" s="40" t="s">
        <v>911</v>
      </c>
      <c r="E169" s="17"/>
      <c r="F169" s="16">
        <f t="shared" si="0"/>
        <v>0</v>
      </c>
      <c r="G169" s="17"/>
      <c r="H169" s="16">
        <f t="shared" si="1"/>
        <v>0</v>
      </c>
      <c r="I169" s="16"/>
      <c r="J169" s="16">
        <f t="shared" si="6"/>
        <v>0</v>
      </c>
      <c r="K169" s="16"/>
      <c r="L169" s="16">
        <f t="shared" si="7"/>
        <v>0</v>
      </c>
      <c r="M169" s="16"/>
      <c r="N169" s="16">
        <f t="shared" si="8"/>
        <v>0</v>
      </c>
      <c r="O169" s="16"/>
      <c r="P169" s="16">
        <f t="shared" si="9"/>
        <v>0</v>
      </c>
      <c r="Q169" s="16"/>
      <c r="R169" s="16">
        <f t="shared" si="29"/>
        <v>0</v>
      </c>
      <c r="S169" s="16"/>
      <c r="T169" s="16">
        <f t="shared" si="30"/>
        <v>0</v>
      </c>
      <c r="U169" s="16"/>
      <c r="V169" s="16">
        <f t="shared" si="31"/>
        <v>0</v>
      </c>
      <c r="W169" s="16"/>
      <c r="X169" s="16"/>
      <c r="Y169" s="16"/>
      <c r="Z169" s="16">
        <f t="shared" si="13"/>
        <v>0</v>
      </c>
      <c r="AA169" s="16"/>
      <c r="AB169" s="16">
        <f t="shared" si="14"/>
        <v>0</v>
      </c>
      <c r="AC169" s="16"/>
      <c r="AD169" s="16">
        <f t="shared" si="32"/>
        <v>0</v>
      </c>
      <c r="AE169" s="16"/>
      <c r="AF169" s="16">
        <f t="shared" si="33"/>
        <v>0</v>
      </c>
      <c r="AG169" s="16"/>
      <c r="AH169" s="16">
        <f t="shared" si="34"/>
        <v>0</v>
      </c>
      <c r="AI169" s="16"/>
      <c r="AJ169" s="16">
        <f t="shared" si="18"/>
        <v>0</v>
      </c>
      <c r="AK169" s="16"/>
      <c r="AL169" s="16">
        <f t="shared" si="35"/>
        <v>0</v>
      </c>
      <c r="AM169" s="16"/>
      <c r="AN169" s="16">
        <f t="shared" si="2"/>
        <v>0</v>
      </c>
      <c r="AO169" s="16"/>
      <c r="AP169" s="16">
        <f t="shared" si="36"/>
        <v>0</v>
      </c>
      <c r="AQ169" s="16"/>
      <c r="AR169" s="16">
        <f t="shared" si="21"/>
        <v>0</v>
      </c>
      <c r="AS169" s="16"/>
      <c r="AT169" s="16">
        <f t="shared" si="22"/>
        <v>0</v>
      </c>
      <c r="AU169" s="16"/>
      <c r="AV169" s="16">
        <f t="shared" si="37"/>
        <v>0</v>
      </c>
      <c r="AW169" s="16"/>
      <c r="AX169" s="16">
        <f t="shared" si="38"/>
        <v>0</v>
      </c>
      <c r="AY169" s="16"/>
      <c r="AZ169" s="16">
        <f t="shared" si="24"/>
        <v>0</v>
      </c>
      <c r="BA169" s="16"/>
      <c r="BB169" s="16">
        <f t="shared" si="25"/>
        <v>0</v>
      </c>
      <c r="BC169" s="11">
        <f t="shared" si="28"/>
        <v>0</v>
      </c>
      <c r="BD169" s="17"/>
      <c r="BE169" s="17"/>
      <c r="BF169" s="17"/>
      <c r="BG169" s="16">
        <f t="shared" si="5"/>
        <v>0</v>
      </c>
      <c r="BH169" s="17">
        <f>56*2</f>
        <v>112</v>
      </c>
      <c r="BI169" s="17">
        <f>112*5900*1.16</f>
        <v>766528</v>
      </c>
    </row>
    <row r="170" spans="1:61" ht="12.75">
      <c r="A170" s="38">
        <v>36008</v>
      </c>
      <c r="B170" s="39" t="s">
        <v>904</v>
      </c>
      <c r="C170" s="40" t="s">
        <v>646</v>
      </c>
      <c r="D170" s="40" t="s">
        <v>911</v>
      </c>
      <c r="E170" s="17"/>
      <c r="F170" s="16">
        <f t="shared" si="0"/>
        <v>0</v>
      </c>
      <c r="G170" s="17"/>
      <c r="H170" s="16">
        <f t="shared" si="1"/>
        <v>0</v>
      </c>
      <c r="I170" s="16"/>
      <c r="J170" s="16">
        <f t="shared" si="6"/>
        <v>0</v>
      </c>
      <c r="K170" s="16"/>
      <c r="L170" s="16">
        <f t="shared" si="7"/>
        <v>0</v>
      </c>
      <c r="M170" s="16"/>
      <c r="N170" s="16">
        <f t="shared" si="8"/>
        <v>0</v>
      </c>
      <c r="O170" s="16"/>
      <c r="P170" s="16">
        <f t="shared" si="9"/>
        <v>0</v>
      </c>
      <c r="Q170" s="16"/>
      <c r="R170" s="16">
        <f t="shared" si="29"/>
        <v>0</v>
      </c>
      <c r="S170" s="16"/>
      <c r="T170" s="16">
        <f t="shared" si="30"/>
        <v>0</v>
      </c>
      <c r="U170" s="16"/>
      <c r="V170" s="16">
        <f t="shared" si="31"/>
        <v>0</v>
      </c>
      <c r="W170" s="16"/>
      <c r="X170" s="16"/>
      <c r="Y170" s="16"/>
      <c r="Z170" s="16">
        <f t="shared" si="13"/>
        <v>0</v>
      </c>
      <c r="AA170" s="16"/>
      <c r="AB170" s="16">
        <f t="shared" si="14"/>
        <v>0</v>
      </c>
      <c r="AC170" s="16"/>
      <c r="AD170" s="16">
        <f t="shared" si="32"/>
        <v>0</v>
      </c>
      <c r="AE170" s="16"/>
      <c r="AF170" s="16">
        <f t="shared" si="33"/>
        <v>0</v>
      </c>
      <c r="AG170" s="16"/>
      <c r="AH170" s="16">
        <f t="shared" si="34"/>
        <v>0</v>
      </c>
      <c r="AI170" s="16"/>
      <c r="AJ170" s="16">
        <f t="shared" si="18"/>
        <v>0</v>
      </c>
      <c r="AK170" s="16"/>
      <c r="AL170" s="16">
        <f t="shared" si="35"/>
        <v>0</v>
      </c>
      <c r="AM170" s="16"/>
      <c r="AN170" s="16">
        <f t="shared" si="2"/>
        <v>0</v>
      </c>
      <c r="AO170" s="16"/>
      <c r="AP170" s="16">
        <f t="shared" si="36"/>
        <v>0</v>
      </c>
      <c r="AQ170" s="16"/>
      <c r="AR170" s="16">
        <f t="shared" si="21"/>
        <v>0</v>
      </c>
      <c r="AS170" s="16"/>
      <c r="AT170" s="16">
        <f t="shared" si="22"/>
        <v>0</v>
      </c>
      <c r="AU170" s="16"/>
      <c r="AV170" s="16">
        <f t="shared" si="37"/>
        <v>0</v>
      </c>
      <c r="AW170" s="16"/>
      <c r="AX170" s="16">
        <f t="shared" si="38"/>
        <v>0</v>
      </c>
      <c r="AY170" s="16"/>
      <c r="AZ170" s="16">
        <f t="shared" si="24"/>
        <v>0</v>
      </c>
      <c r="BA170" s="16"/>
      <c r="BB170" s="16">
        <f t="shared" si="25"/>
        <v>0</v>
      </c>
      <c r="BC170" s="11">
        <f t="shared" si="28"/>
        <v>0</v>
      </c>
      <c r="BD170" s="17"/>
      <c r="BE170" s="17"/>
      <c r="BF170" s="17"/>
      <c r="BG170" s="16">
        <f t="shared" si="5"/>
        <v>0</v>
      </c>
      <c r="BH170" s="17">
        <f>102*2</f>
        <v>204</v>
      </c>
      <c r="BI170" s="17">
        <f>204*5900*1.16</f>
        <v>1396176</v>
      </c>
    </row>
    <row r="171" spans="1:62" ht="12.75">
      <c r="A171" s="38">
        <v>36008</v>
      </c>
      <c r="B171" s="39" t="s">
        <v>904</v>
      </c>
      <c r="C171" s="40" t="s">
        <v>396</v>
      </c>
      <c r="D171" s="40" t="s">
        <v>911</v>
      </c>
      <c r="E171" s="17"/>
      <c r="F171" s="16">
        <f t="shared" si="0"/>
        <v>0</v>
      </c>
      <c r="G171" s="17"/>
      <c r="H171" s="16">
        <f t="shared" si="1"/>
        <v>0</v>
      </c>
      <c r="I171" s="16"/>
      <c r="J171" s="16">
        <f t="shared" si="6"/>
        <v>0</v>
      </c>
      <c r="K171" s="16"/>
      <c r="L171" s="16">
        <f t="shared" si="7"/>
        <v>0</v>
      </c>
      <c r="M171" s="16"/>
      <c r="N171" s="16">
        <f t="shared" si="8"/>
        <v>0</v>
      </c>
      <c r="O171" s="16"/>
      <c r="P171" s="16">
        <f t="shared" si="9"/>
        <v>0</v>
      </c>
      <c r="Q171" s="16"/>
      <c r="R171" s="16">
        <f t="shared" si="29"/>
        <v>0</v>
      </c>
      <c r="S171" s="16"/>
      <c r="T171" s="16">
        <f t="shared" si="30"/>
        <v>0</v>
      </c>
      <c r="U171" s="16"/>
      <c r="V171" s="16">
        <f t="shared" si="31"/>
        <v>0</v>
      </c>
      <c r="W171" s="16"/>
      <c r="X171" s="16"/>
      <c r="Y171" s="16"/>
      <c r="Z171" s="16">
        <f t="shared" si="13"/>
        <v>0</v>
      </c>
      <c r="AA171" s="16"/>
      <c r="AB171" s="16">
        <f t="shared" si="14"/>
        <v>0</v>
      </c>
      <c r="AC171" s="16"/>
      <c r="AD171" s="16">
        <f t="shared" si="32"/>
        <v>0</v>
      </c>
      <c r="AE171" s="16"/>
      <c r="AF171" s="16">
        <f t="shared" si="33"/>
        <v>0</v>
      </c>
      <c r="AG171" s="16"/>
      <c r="AH171" s="16">
        <f t="shared" si="34"/>
        <v>0</v>
      </c>
      <c r="AI171" s="16"/>
      <c r="AJ171" s="16">
        <f t="shared" si="18"/>
        <v>0</v>
      </c>
      <c r="AK171" s="16"/>
      <c r="AL171" s="16">
        <f t="shared" si="35"/>
        <v>0</v>
      </c>
      <c r="AM171" s="16"/>
      <c r="AN171" s="16">
        <f t="shared" si="2"/>
        <v>0</v>
      </c>
      <c r="AO171" s="16"/>
      <c r="AP171" s="16">
        <f t="shared" si="36"/>
        <v>0</v>
      </c>
      <c r="AQ171" s="16"/>
      <c r="AR171" s="16">
        <f t="shared" si="21"/>
        <v>0</v>
      </c>
      <c r="AS171" s="16"/>
      <c r="AT171" s="16">
        <f t="shared" si="22"/>
        <v>0</v>
      </c>
      <c r="AU171" s="16"/>
      <c r="AV171" s="16">
        <f t="shared" si="37"/>
        <v>0</v>
      </c>
      <c r="AW171" s="16"/>
      <c r="AX171" s="16">
        <f t="shared" si="38"/>
        <v>0</v>
      </c>
      <c r="AY171" s="16"/>
      <c r="AZ171" s="16">
        <f t="shared" si="24"/>
        <v>0</v>
      </c>
      <c r="BA171" s="16"/>
      <c r="BB171" s="16">
        <f t="shared" si="25"/>
        <v>0</v>
      </c>
      <c r="BC171" s="11">
        <f t="shared" si="28"/>
        <v>0</v>
      </c>
      <c r="BD171" s="17"/>
      <c r="BE171" s="17"/>
      <c r="BF171" s="17"/>
      <c r="BG171" s="16">
        <f t="shared" si="5"/>
        <v>0</v>
      </c>
      <c r="BH171" s="17">
        <f>96*2</f>
        <v>192</v>
      </c>
      <c r="BI171" s="17">
        <f>192*5900*1.16</f>
        <v>1314048</v>
      </c>
      <c r="BJ171" s="82"/>
    </row>
    <row r="172" spans="1:61" ht="12.75">
      <c r="A172" s="38">
        <v>35998</v>
      </c>
      <c r="B172" s="39" t="s">
        <v>899</v>
      </c>
      <c r="C172" s="40" t="s">
        <v>59</v>
      </c>
      <c r="D172" s="40" t="s">
        <v>891</v>
      </c>
      <c r="E172" s="17">
        <v>60</v>
      </c>
      <c r="F172" s="16">
        <f t="shared" si="0"/>
        <v>20880</v>
      </c>
      <c r="G172" s="17">
        <v>60</v>
      </c>
      <c r="H172" s="16">
        <f t="shared" si="1"/>
        <v>17748</v>
      </c>
      <c r="I172" s="16"/>
      <c r="J172" s="16">
        <f t="shared" si="6"/>
        <v>0</v>
      </c>
      <c r="K172" s="16"/>
      <c r="L172" s="16">
        <f t="shared" si="7"/>
        <v>0</v>
      </c>
      <c r="M172" s="16"/>
      <c r="N172" s="16">
        <f t="shared" si="8"/>
        <v>0</v>
      </c>
      <c r="O172" s="16"/>
      <c r="P172" s="16">
        <f t="shared" si="9"/>
        <v>0</v>
      </c>
      <c r="Q172" s="16"/>
      <c r="R172" s="16">
        <f t="shared" si="29"/>
        <v>0</v>
      </c>
      <c r="S172" s="16">
        <v>120</v>
      </c>
      <c r="T172" s="16">
        <f t="shared" si="30"/>
        <v>410640</v>
      </c>
      <c r="U172" s="16">
        <v>120</v>
      </c>
      <c r="V172" s="16">
        <f t="shared" si="31"/>
        <v>366492</v>
      </c>
      <c r="W172" s="16"/>
      <c r="X172" s="16"/>
      <c r="Y172" s="16"/>
      <c r="Z172" s="16">
        <f t="shared" si="13"/>
        <v>0</v>
      </c>
      <c r="AA172" s="16"/>
      <c r="AB172" s="16">
        <f t="shared" si="14"/>
        <v>0</v>
      </c>
      <c r="AC172" s="16">
        <v>120</v>
      </c>
      <c r="AD172" s="16">
        <f t="shared" si="32"/>
        <v>166200</v>
      </c>
      <c r="AE172" s="16">
        <v>100</v>
      </c>
      <c r="AF172" s="16">
        <f t="shared" si="33"/>
        <v>544040</v>
      </c>
      <c r="AG172" s="16"/>
      <c r="AH172" s="16">
        <f t="shared" si="34"/>
        <v>0</v>
      </c>
      <c r="AI172" s="16">
        <v>120</v>
      </c>
      <c r="AJ172" s="16">
        <f t="shared" si="18"/>
        <v>55680</v>
      </c>
      <c r="AK172" s="16">
        <v>120</v>
      </c>
      <c r="AL172" s="16">
        <f t="shared" si="35"/>
        <v>13224</v>
      </c>
      <c r="AM172" s="16"/>
      <c r="AN172" s="16">
        <f t="shared" si="2"/>
        <v>0</v>
      </c>
      <c r="AO172" s="16">
        <v>100</v>
      </c>
      <c r="AP172" s="16">
        <f t="shared" si="36"/>
        <v>91640</v>
      </c>
      <c r="AQ172" s="16"/>
      <c r="AR172" s="16">
        <f t="shared" si="21"/>
        <v>0</v>
      </c>
      <c r="AS172" s="16"/>
      <c r="AT172" s="16">
        <f t="shared" si="22"/>
        <v>0</v>
      </c>
      <c r="AU172" s="16"/>
      <c r="AV172" s="16">
        <f t="shared" si="37"/>
        <v>0</v>
      </c>
      <c r="AW172" s="16"/>
      <c r="AX172" s="16">
        <f t="shared" si="38"/>
        <v>0</v>
      </c>
      <c r="AY172" s="16">
        <v>120</v>
      </c>
      <c r="AZ172" s="16">
        <f t="shared" si="24"/>
        <v>387543.60000000003</v>
      </c>
      <c r="BA172" s="16"/>
      <c r="BB172" s="16">
        <f t="shared" si="25"/>
        <v>0</v>
      </c>
      <c r="BC172" s="11">
        <f t="shared" si="28"/>
        <v>2074087.6</v>
      </c>
      <c r="BD172" s="17"/>
      <c r="BE172" s="17"/>
      <c r="BF172" s="17">
        <v>40</v>
      </c>
      <c r="BG172" s="16">
        <f t="shared" si="5"/>
        <v>920000</v>
      </c>
      <c r="BH172" s="17">
        <v>150</v>
      </c>
      <c r="BI172" s="17">
        <f>150*5900*1.16</f>
        <v>1026599.9999999999</v>
      </c>
    </row>
    <row r="173" spans="1:61" ht="12.75">
      <c r="A173" s="38">
        <v>36053</v>
      </c>
      <c r="B173" s="39" t="s">
        <v>904</v>
      </c>
      <c r="C173" s="40" t="s">
        <v>694</v>
      </c>
      <c r="D173" s="40" t="s">
        <v>821</v>
      </c>
      <c r="E173" s="17"/>
      <c r="F173" s="16">
        <f t="shared" si="0"/>
        <v>0</v>
      </c>
      <c r="G173" s="17"/>
      <c r="H173" s="16">
        <f t="shared" si="1"/>
        <v>0</v>
      </c>
      <c r="I173" s="16"/>
      <c r="J173" s="16">
        <f t="shared" si="6"/>
        <v>0</v>
      </c>
      <c r="K173" s="16"/>
      <c r="L173" s="16">
        <f t="shared" si="7"/>
        <v>0</v>
      </c>
      <c r="M173" s="16"/>
      <c r="N173" s="16">
        <f t="shared" si="8"/>
        <v>0</v>
      </c>
      <c r="O173" s="16"/>
      <c r="P173" s="16">
        <f t="shared" si="9"/>
        <v>0</v>
      </c>
      <c r="Q173" s="16"/>
      <c r="R173" s="16">
        <f t="shared" si="29"/>
        <v>0</v>
      </c>
      <c r="S173" s="16"/>
      <c r="T173" s="16">
        <f t="shared" si="30"/>
        <v>0</v>
      </c>
      <c r="U173" s="16"/>
      <c r="V173" s="16">
        <f t="shared" si="31"/>
        <v>0</v>
      </c>
      <c r="W173" s="16"/>
      <c r="X173" s="16"/>
      <c r="Y173" s="16"/>
      <c r="Z173" s="16">
        <f t="shared" si="13"/>
        <v>0</v>
      </c>
      <c r="AA173" s="16"/>
      <c r="AB173" s="16">
        <f t="shared" si="14"/>
        <v>0</v>
      </c>
      <c r="AC173" s="16"/>
      <c r="AD173" s="16">
        <f t="shared" si="32"/>
        <v>0</v>
      </c>
      <c r="AE173" s="16"/>
      <c r="AF173" s="16">
        <f t="shared" si="33"/>
        <v>0</v>
      </c>
      <c r="AG173" s="16"/>
      <c r="AH173" s="16">
        <f t="shared" si="34"/>
        <v>0</v>
      </c>
      <c r="AI173" s="16"/>
      <c r="AJ173" s="16">
        <f t="shared" si="18"/>
        <v>0</v>
      </c>
      <c r="AK173" s="16"/>
      <c r="AL173" s="16">
        <f t="shared" si="35"/>
        <v>0</v>
      </c>
      <c r="AM173" s="16"/>
      <c r="AN173" s="16">
        <f t="shared" si="2"/>
        <v>0</v>
      </c>
      <c r="AO173" s="16"/>
      <c r="AP173" s="16">
        <f t="shared" si="36"/>
        <v>0</v>
      </c>
      <c r="AQ173" s="16"/>
      <c r="AR173" s="16">
        <f t="shared" si="21"/>
        <v>0</v>
      </c>
      <c r="AS173" s="16"/>
      <c r="AT173" s="16">
        <f t="shared" si="22"/>
        <v>0</v>
      </c>
      <c r="AU173" s="16"/>
      <c r="AV173" s="16">
        <f t="shared" si="37"/>
        <v>0</v>
      </c>
      <c r="AW173" s="16"/>
      <c r="AX173" s="16">
        <f t="shared" si="38"/>
        <v>0</v>
      </c>
      <c r="AY173" s="16"/>
      <c r="AZ173" s="16">
        <f t="shared" si="24"/>
        <v>0</v>
      </c>
      <c r="BA173" s="16"/>
      <c r="BB173" s="16">
        <f t="shared" si="25"/>
        <v>0</v>
      </c>
      <c r="BC173" s="11">
        <f t="shared" si="28"/>
        <v>0</v>
      </c>
      <c r="BD173" s="17"/>
      <c r="BE173" s="17"/>
      <c r="BF173" s="17">
        <v>33</v>
      </c>
      <c r="BG173" s="16">
        <f t="shared" si="5"/>
        <v>759000</v>
      </c>
      <c r="BH173" s="17"/>
      <c r="BI173" s="17"/>
    </row>
    <row r="174" spans="1:61" ht="22.5">
      <c r="A174" s="38">
        <v>36038</v>
      </c>
      <c r="B174" s="39" t="s">
        <v>893</v>
      </c>
      <c r="C174" s="40" t="s">
        <v>560</v>
      </c>
      <c r="D174" s="40" t="s">
        <v>911</v>
      </c>
      <c r="E174" s="17"/>
      <c r="F174" s="16">
        <f t="shared" si="0"/>
        <v>0</v>
      </c>
      <c r="G174" s="17"/>
      <c r="H174" s="16">
        <f t="shared" si="1"/>
        <v>0</v>
      </c>
      <c r="I174" s="16"/>
      <c r="J174" s="16">
        <f t="shared" si="6"/>
        <v>0</v>
      </c>
      <c r="K174" s="16"/>
      <c r="L174" s="16">
        <f t="shared" si="7"/>
        <v>0</v>
      </c>
      <c r="M174" s="16"/>
      <c r="N174" s="16">
        <f t="shared" si="8"/>
        <v>0</v>
      </c>
      <c r="O174" s="16"/>
      <c r="P174" s="16">
        <f t="shared" si="9"/>
        <v>0</v>
      </c>
      <c r="Q174" s="16"/>
      <c r="R174" s="16">
        <f t="shared" si="29"/>
        <v>0</v>
      </c>
      <c r="S174" s="16"/>
      <c r="T174" s="16">
        <f t="shared" si="30"/>
        <v>0</v>
      </c>
      <c r="U174" s="16"/>
      <c r="V174" s="16">
        <f t="shared" si="31"/>
        <v>0</v>
      </c>
      <c r="W174" s="16"/>
      <c r="X174" s="16"/>
      <c r="Y174" s="16"/>
      <c r="Z174" s="16">
        <f t="shared" si="13"/>
        <v>0</v>
      </c>
      <c r="AA174" s="16"/>
      <c r="AB174" s="16">
        <f t="shared" si="14"/>
        <v>0</v>
      </c>
      <c r="AC174" s="16"/>
      <c r="AD174" s="16">
        <f t="shared" si="32"/>
        <v>0</v>
      </c>
      <c r="AE174" s="16"/>
      <c r="AF174" s="16">
        <f t="shared" si="33"/>
        <v>0</v>
      </c>
      <c r="AG174" s="16"/>
      <c r="AH174" s="16">
        <f t="shared" si="34"/>
        <v>0</v>
      </c>
      <c r="AI174" s="16"/>
      <c r="AJ174" s="16">
        <f t="shared" si="18"/>
        <v>0</v>
      </c>
      <c r="AK174" s="16"/>
      <c r="AL174" s="16">
        <f t="shared" si="35"/>
        <v>0</v>
      </c>
      <c r="AM174" s="16"/>
      <c r="AN174" s="16">
        <f t="shared" si="2"/>
        <v>0</v>
      </c>
      <c r="AO174" s="16"/>
      <c r="AP174" s="16">
        <f t="shared" si="36"/>
        <v>0</v>
      </c>
      <c r="AQ174" s="16"/>
      <c r="AR174" s="16">
        <f t="shared" si="21"/>
        <v>0</v>
      </c>
      <c r="AS174" s="16"/>
      <c r="AT174" s="16">
        <f t="shared" si="22"/>
        <v>0</v>
      </c>
      <c r="AU174" s="16"/>
      <c r="AV174" s="16">
        <f t="shared" si="37"/>
        <v>0</v>
      </c>
      <c r="AW174" s="16"/>
      <c r="AX174" s="16">
        <f t="shared" si="38"/>
        <v>0</v>
      </c>
      <c r="AY174" s="16"/>
      <c r="AZ174" s="16">
        <f t="shared" si="24"/>
        <v>0</v>
      </c>
      <c r="BA174" s="16"/>
      <c r="BB174" s="16">
        <f t="shared" si="25"/>
        <v>0</v>
      </c>
      <c r="BC174" s="11">
        <f t="shared" si="28"/>
        <v>0</v>
      </c>
      <c r="BD174" s="17"/>
      <c r="BE174" s="17"/>
      <c r="BF174" s="17"/>
      <c r="BG174" s="16">
        <f t="shared" si="5"/>
        <v>0</v>
      </c>
      <c r="BH174" s="17">
        <v>980</v>
      </c>
      <c r="BI174" s="17">
        <f>980*5900*1.16</f>
        <v>6707120</v>
      </c>
    </row>
    <row r="175" spans="1:61" ht="22.5">
      <c r="A175" s="38">
        <v>36060</v>
      </c>
      <c r="B175" s="39" t="s">
        <v>59</v>
      </c>
      <c r="C175" s="40" t="s">
        <v>662</v>
      </c>
      <c r="D175" s="40" t="s">
        <v>821</v>
      </c>
      <c r="E175" s="17">
        <v>576</v>
      </c>
      <c r="F175" s="16">
        <f t="shared" si="0"/>
        <v>200448</v>
      </c>
      <c r="G175" s="17">
        <v>576</v>
      </c>
      <c r="H175" s="16">
        <f t="shared" si="1"/>
        <v>170380.80000000002</v>
      </c>
      <c r="I175" s="16">
        <v>288</v>
      </c>
      <c r="J175" s="16">
        <f t="shared" si="6"/>
        <v>1202688</v>
      </c>
      <c r="K175" s="16"/>
      <c r="L175" s="16">
        <f t="shared" si="7"/>
        <v>0</v>
      </c>
      <c r="M175" s="16"/>
      <c r="N175" s="16">
        <f t="shared" si="8"/>
        <v>0</v>
      </c>
      <c r="O175" s="16"/>
      <c r="P175" s="16">
        <f t="shared" si="9"/>
        <v>0</v>
      </c>
      <c r="Q175" s="16">
        <v>864</v>
      </c>
      <c r="R175" s="16">
        <f t="shared" si="29"/>
        <v>24053760</v>
      </c>
      <c r="S175" s="16">
        <v>288</v>
      </c>
      <c r="T175" s="16">
        <f t="shared" si="30"/>
        <v>985536</v>
      </c>
      <c r="U175" s="16">
        <v>288</v>
      </c>
      <c r="V175" s="16">
        <f t="shared" si="31"/>
        <v>879580.7999999999</v>
      </c>
      <c r="W175" s="16"/>
      <c r="X175" s="16"/>
      <c r="Y175" s="16"/>
      <c r="Z175" s="16">
        <f t="shared" si="13"/>
        <v>0</v>
      </c>
      <c r="AA175" s="16"/>
      <c r="AB175" s="16">
        <f t="shared" si="14"/>
        <v>0</v>
      </c>
      <c r="AC175" s="16">
        <v>288</v>
      </c>
      <c r="AD175" s="16">
        <f t="shared" si="32"/>
        <v>398880</v>
      </c>
      <c r="AE175" s="16">
        <v>864</v>
      </c>
      <c r="AF175" s="16">
        <f t="shared" si="33"/>
        <v>4700505.6</v>
      </c>
      <c r="AG175" s="16">
        <v>288</v>
      </c>
      <c r="AH175" s="16">
        <f t="shared" si="34"/>
        <v>2756638.08</v>
      </c>
      <c r="AI175" s="16">
        <v>576</v>
      </c>
      <c r="AJ175" s="16">
        <f t="shared" si="18"/>
        <v>267264</v>
      </c>
      <c r="AK175" s="16">
        <v>576</v>
      </c>
      <c r="AL175" s="16">
        <f t="shared" si="35"/>
        <v>63475.200000000004</v>
      </c>
      <c r="AM175" s="16"/>
      <c r="AN175" s="16">
        <f t="shared" si="2"/>
        <v>0</v>
      </c>
      <c r="AO175" s="16">
        <v>864</v>
      </c>
      <c r="AP175" s="16">
        <f t="shared" si="36"/>
        <v>791769.6</v>
      </c>
      <c r="AQ175" s="16"/>
      <c r="AR175" s="16">
        <f t="shared" si="21"/>
        <v>0</v>
      </c>
      <c r="AS175" s="16">
        <v>864</v>
      </c>
      <c r="AT175" s="16">
        <f t="shared" si="22"/>
        <v>279763.2</v>
      </c>
      <c r="AU175" s="16"/>
      <c r="AV175" s="16">
        <f t="shared" si="37"/>
        <v>0</v>
      </c>
      <c r="AW175" s="16">
        <v>864</v>
      </c>
      <c r="AX175" s="16">
        <f t="shared" si="38"/>
        <v>9721728</v>
      </c>
      <c r="AY175" s="16">
        <v>288</v>
      </c>
      <c r="AZ175" s="16">
        <f t="shared" si="24"/>
        <v>930104.64</v>
      </c>
      <c r="BA175" s="16">
        <v>300</v>
      </c>
      <c r="BB175" s="16">
        <f t="shared" si="25"/>
        <v>2142441</v>
      </c>
      <c r="BC175" s="11">
        <f t="shared" si="28"/>
        <v>49544962.92000001</v>
      </c>
      <c r="BD175" s="17"/>
      <c r="BE175" s="17"/>
      <c r="BF175" s="17">
        <v>150</v>
      </c>
      <c r="BG175" s="16">
        <f t="shared" si="5"/>
        <v>3450000</v>
      </c>
      <c r="BH175" s="17"/>
      <c r="BI175" s="17"/>
    </row>
    <row r="176" spans="1:61" ht="12.75">
      <c r="A176" s="38">
        <v>36037</v>
      </c>
      <c r="B176" s="39" t="s">
        <v>877</v>
      </c>
      <c r="C176" s="40" t="s">
        <v>651</v>
      </c>
      <c r="D176" s="40" t="s">
        <v>911</v>
      </c>
      <c r="E176" s="17"/>
      <c r="F176" s="16">
        <f t="shared" si="0"/>
        <v>0</v>
      </c>
      <c r="G176" s="17"/>
      <c r="H176" s="16">
        <f t="shared" si="1"/>
        <v>0</v>
      </c>
      <c r="I176" s="16"/>
      <c r="J176" s="16">
        <f t="shared" si="6"/>
        <v>0</v>
      </c>
      <c r="K176" s="16"/>
      <c r="L176" s="16">
        <f t="shared" si="7"/>
        <v>0</v>
      </c>
      <c r="M176" s="16"/>
      <c r="N176" s="16">
        <f t="shared" si="8"/>
        <v>0</v>
      </c>
      <c r="O176" s="16"/>
      <c r="P176" s="16">
        <f t="shared" si="9"/>
        <v>0</v>
      </c>
      <c r="Q176" s="16"/>
      <c r="R176" s="16">
        <f t="shared" si="29"/>
        <v>0</v>
      </c>
      <c r="S176" s="16"/>
      <c r="T176" s="16">
        <f t="shared" si="30"/>
        <v>0</v>
      </c>
      <c r="U176" s="16"/>
      <c r="V176" s="16">
        <f t="shared" si="31"/>
        <v>0</v>
      </c>
      <c r="W176" s="16"/>
      <c r="X176" s="16"/>
      <c r="Y176" s="16"/>
      <c r="Z176" s="16">
        <f t="shared" si="13"/>
        <v>0</v>
      </c>
      <c r="AA176" s="16"/>
      <c r="AB176" s="16">
        <f t="shared" si="14"/>
        <v>0</v>
      </c>
      <c r="AC176" s="16"/>
      <c r="AD176" s="16">
        <f t="shared" si="32"/>
        <v>0</v>
      </c>
      <c r="AE176" s="16"/>
      <c r="AF176" s="16">
        <f t="shared" si="33"/>
        <v>0</v>
      </c>
      <c r="AG176" s="16"/>
      <c r="AH176" s="16">
        <f t="shared" si="34"/>
        <v>0</v>
      </c>
      <c r="AI176" s="16"/>
      <c r="AJ176" s="16">
        <f t="shared" si="18"/>
        <v>0</v>
      </c>
      <c r="AK176" s="16"/>
      <c r="AL176" s="16">
        <f t="shared" si="35"/>
        <v>0</v>
      </c>
      <c r="AM176" s="16"/>
      <c r="AN176" s="16">
        <f t="shared" si="2"/>
        <v>0</v>
      </c>
      <c r="AO176" s="16"/>
      <c r="AP176" s="16">
        <f t="shared" si="36"/>
        <v>0</v>
      </c>
      <c r="AQ176" s="16"/>
      <c r="AR176" s="16">
        <f t="shared" si="21"/>
        <v>0</v>
      </c>
      <c r="AS176" s="16"/>
      <c r="AT176" s="16">
        <f t="shared" si="22"/>
        <v>0</v>
      </c>
      <c r="AU176" s="16"/>
      <c r="AV176" s="16">
        <f t="shared" si="37"/>
        <v>0</v>
      </c>
      <c r="AW176" s="16"/>
      <c r="AX176" s="16">
        <f t="shared" si="38"/>
        <v>0</v>
      </c>
      <c r="AY176" s="16"/>
      <c r="AZ176" s="16">
        <f t="shared" si="24"/>
        <v>0</v>
      </c>
      <c r="BA176" s="16"/>
      <c r="BB176" s="16">
        <f t="shared" si="25"/>
        <v>0</v>
      </c>
      <c r="BC176" s="11">
        <f t="shared" si="28"/>
        <v>0</v>
      </c>
      <c r="BD176" s="17"/>
      <c r="BE176" s="17"/>
      <c r="BF176" s="17"/>
      <c r="BG176" s="16">
        <f t="shared" si="5"/>
        <v>0</v>
      </c>
      <c r="BH176" s="17">
        <v>230</v>
      </c>
      <c r="BI176" s="17">
        <f>230*5900*1.16</f>
        <v>1574120</v>
      </c>
    </row>
    <row r="177" spans="1:61" ht="12.75">
      <c r="A177" s="38">
        <v>36017</v>
      </c>
      <c r="B177" s="39" t="s">
        <v>820</v>
      </c>
      <c r="C177" s="40" t="s">
        <v>585</v>
      </c>
      <c r="D177" s="40" t="s">
        <v>911</v>
      </c>
      <c r="E177" s="17"/>
      <c r="F177" s="16">
        <f t="shared" si="0"/>
        <v>0</v>
      </c>
      <c r="G177" s="17"/>
      <c r="H177" s="16">
        <f t="shared" si="1"/>
        <v>0</v>
      </c>
      <c r="I177" s="16"/>
      <c r="J177" s="16">
        <f t="shared" si="6"/>
        <v>0</v>
      </c>
      <c r="K177" s="16"/>
      <c r="L177" s="16">
        <f t="shared" si="7"/>
        <v>0</v>
      </c>
      <c r="M177" s="16"/>
      <c r="N177" s="16">
        <f t="shared" si="8"/>
        <v>0</v>
      </c>
      <c r="O177" s="16"/>
      <c r="P177" s="16">
        <f t="shared" si="9"/>
        <v>0</v>
      </c>
      <c r="Q177" s="16"/>
      <c r="R177" s="16">
        <f t="shared" si="29"/>
        <v>0</v>
      </c>
      <c r="S177" s="16"/>
      <c r="T177" s="16">
        <f t="shared" si="30"/>
        <v>0</v>
      </c>
      <c r="U177" s="16"/>
      <c r="V177" s="16">
        <f t="shared" si="31"/>
        <v>0</v>
      </c>
      <c r="W177" s="16"/>
      <c r="X177" s="16"/>
      <c r="Y177" s="16"/>
      <c r="Z177" s="16">
        <f t="shared" si="13"/>
        <v>0</v>
      </c>
      <c r="AA177" s="16"/>
      <c r="AB177" s="16">
        <f t="shared" si="14"/>
        <v>0</v>
      </c>
      <c r="AC177" s="16"/>
      <c r="AD177" s="16">
        <f t="shared" si="32"/>
        <v>0</v>
      </c>
      <c r="AE177" s="16"/>
      <c r="AF177" s="16">
        <f t="shared" si="33"/>
        <v>0</v>
      </c>
      <c r="AG177" s="16"/>
      <c r="AH177" s="16">
        <f t="shared" si="34"/>
        <v>0</v>
      </c>
      <c r="AI177" s="16"/>
      <c r="AJ177" s="16">
        <f t="shared" si="18"/>
        <v>0</v>
      </c>
      <c r="AK177" s="16"/>
      <c r="AL177" s="16">
        <f t="shared" si="35"/>
        <v>0</v>
      </c>
      <c r="AM177" s="16"/>
      <c r="AN177" s="16">
        <f t="shared" si="2"/>
        <v>0</v>
      </c>
      <c r="AO177" s="16"/>
      <c r="AP177" s="16">
        <f t="shared" si="36"/>
        <v>0</v>
      </c>
      <c r="AQ177" s="16"/>
      <c r="AR177" s="16">
        <f t="shared" si="21"/>
        <v>0</v>
      </c>
      <c r="AS177" s="16"/>
      <c r="AT177" s="16">
        <f t="shared" si="22"/>
        <v>0</v>
      </c>
      <c r="AU177" s="16"/>
      <c r="AV177" s="16">
        <f t="shared" si="37"/>
        <v>0</v>
      </c>
      <c r="AW177" s="16"/>
      <c r="AX177" s="16">
        <f t="shared" si="38"/>
        <v>0</v>
      </c>
      <c r="AY177" s="16"/>
      <c r="AZ177" s="16">
        <f t="shared" si="24"/>
        <v>0</v>
      </c>
      <c r="BA177" s="16"/>
      <c r="BB177" s="16">
        <f t="shared" si="25"/>
        <v>0</v>
      </c>
      <c r="BC177" s="11">
        <f t="shared" si="28"/>
        <v>0</v>
      </c>
      <c r="BD177" s="17"/>
      <c r="BE177" s="17"/>
      <c r="BF177" s="17">
        <v>50</v>
      </c>
      <c r="BG177" s="16">
        <f t="shared" si="5"/>
        <v>1150000</v>
      </c>
      <c r="BH177" s="17">
        <v>125</v>
      </c>
      <c r="BI177" s="17">
        <f>125*5934*1.16</f>
        <v>860429.9999999999</v>
      </c>
    </row>
    <row r="178" spans="1:61" ht="12.75">
      <c r="A178" s="38">
        <v>36069</v>
      </c>
      <c r="B178" s="39" t="s">
        <v>904</v>
      </c>
      <c r="C178" s="40" t="s">
        <v>875</v>
      </c>
      <c r="D178" s="40" t="s">
        <v>821</v>
      </c>
      <c r="E178" s="17"/>
      <c r="F178" s="16">
        <f t="shared" si="0"/>
        <v>0</v>
      </c>
      <c r="G178" s="17"/>
      <c r="H178" s="16">
        <f t="shared" si="1"/>
        <v>0</v>
      </c>
      <c r="I178" s="16"/>
      <c r="J178" s="16">
        <f t="shared" si="6"/>
        <v>0</v>
      </c>
      <c r="K178" s="16"/>
      <c r="L178" s="16">
        <f t="shared" si="7"/>
        <v>0</v>
      </c>
      <c r="M178" s="16"/>
      <c r="N178" s="16">
        <f t="shared" si="8"/>
        <v>0</v>
      </c>
      <c r="O178" s="16"/>
      <c r="P178" s="16">
        <f t="shared" si="9"/>
        <v>0</v>
      </c>
      <c r="Q178" s="16"/>
      <c r="R178" s="16">
        <f t="shared" si="29"/>
        <v>0</v>
      </c>
      <c r="S178" s="16"/>
      <c r="T178" s="16">
        <f t="shared" si="30"/>
        <v>0</v>
      </c>
      <c r="U178" s="16"/>
      <c r="V178" s="16">
        <f t="shared" si="31"/>
        <v>0</v>
      </c>
      <c r="W178" s="16"/>
      <c r="X178" s="16"/>
      <c r="Y178" s="16"/>
      <c r="Z178" s="16">
        <f t="shared" si="13"/>
        <v>0</v>
      </c>
      <c r="AA178" s="16"/>
      <c r="AB178" s="16">
        <f t="shared" si="14"/>
        <v>0</v>
      </c>
      <c r="AC178" s="16"/>
      <c r="AD178" s="16">
        <f t="shared" si="32"/>
        <v>0</v>
      </c>
      <c r="AE178" s="16"/>
      <c r="AF178" s="16">
        <f t="shared" si="33"/>
        <v>0</v>
      </c>
      <c r="AG178" s="16"/>
      <c r="AH178" s="16">
        <f t="shared" si="34"/>
        <v>0</v>
      </c>
      <c r="AI178" s="16"/>
      <c r="AJ178" s="16">
        <f t="shared" si="18"/>
        <v>0</v>
      </c>
      <c r="AK178" s="16"/>
      <c r="AL178" s="16">
        <f t="shared" si="35"/>
        <v>0</v>
      </c>
      <c r="AM178" s="16"/>
      <c r="AN178" s="16">
        <f t="shared" si="2"/>
        <v>0</v>
      </c>
      <c r="AO178" s="16"/>
      <c r="AP178" s="16">
        <f t="shared" si="36"/>
        <v>0</v>
      </c>
      <c r="AQ178" s="16"/>
      <c r="AR178" s="16">
        <f t="shared" si="21"/>
        <v>0</v>
      </c>
      <c r="AS178" s="16"/>
      <c r="AT178" s="16">
        <f t="shared" si="22"/>
        <v>0</v>
      </c>
      <c r="AU178" s="16"/>
      <c r="AV178" s="16">
        <f t="shared" si="37"/>
        <v>0</v>
      </c>
      <c r="AW178" s="16"/>
      <c r="AX178" s="16">
        <f t="shared" si="38"/>
        <v>0</v>
      </c>
      <c r="AY178" s="16"/>
      <c r="AZ178" s="16">
        <f t="shared" si="24"/>
        <v>0</v>
      </c>
      <c r="BA178" s="16"/>
      <c r="BB178" s="16">
        <f t="shared" si="25"/>
        <v>0</v>
      </c>
      <c r="BC178" s="11">
        <f t="shared" si="28"/>
        <v>0</v>
      </c>
      <c r="BD178" s="17"/>
      <c r="BE178" s="17"/>
      <c r="BF178" s="17">
        <v>450</v>
      </c>
      <c r="BG178" s="16">
        <f t="shared" si="5"/>
        <v>10350000</v>
      </c>
      <c r="BH178" s="17"/>
      <c r="BI178" s="17"/>
    </row>
    <row r="179" spans="1:61" ht="12.75">
      <c r="A179" s="38">
        <v>36075</v>
      </c>
      <c r="B179" s="39" t="s">
        <v>829</v>
      </c>
      <c r="C179" s="40" t="s">
        <v>589</v>
      </c>
      <c r="D179" s="40" t="s">
        <v>821</v>
      </c>
      <c r="E179" s="17">
        <v>18</v>
      </c>
      <c r="F179" s="16">
        <f t="shared" si="0"/>
        <v>6264</v>
      </c>
      <c r="G179" s="17">
        <v>18</v>
      </c>
      <c r="H179" s="16">
        <f t="shared" si="1"/>
        <v>5324.400000000001</v>
      </c>
      <c r="I179" s="16"/>
      <c r="J179" s="16">
        <f t="shared" si="6"/>
        <v>0</v>
      </c>
      <c r="K179" s="16"/>
      <c r="L179" s="16">
        <f t="shared" si="7"/>
        <v>0</v>
      </c>
      <c r="M179" s="16"/>
      <c r="N179" s="16">
        <f t="shared" si="8"/>
        <v>0</v>
      </c>
      <c r="O179" s="16"/>
      <c r="P179" s="16">
        <f t="shared" si="9"/>
        <v>0</v>
      </c>
      <c r="Q179" s="16">
        <v>27</v>
      </c>
      <c r="R179" s="16">
        <f t="shared" si="29"/>
        <v>751680</v>
      </c>
      <c r="S179" s="16">
        <v>9</v>
      </c>
      <c r="T179" s="16">
        <f t="shared" si="30"/>
        <v>30798</v>
      </c>
      <c r="U179" s="16">
        <v>9</v>
      </c>
      <c r="V179" s="16">
        <f t="shared" si="31"/>
        <v>27486.899999999998</v>
      </c>
      <c r="W179" s="16"/>
      <c r="X179" s="16"/>
      <c r="Y179" s="16"/>
      <c r="Z179" s="16">
        <f t="shared" si="13"/>
        <v>0</v>
      </c>
      <c r="AA179" s="16"/>
      <c r="AB179" s="16">
        <f t="shared" si="14"/>
        <v>0</v>
      </c>
      <c r="AC179" s="16">
        <v>9</v>
      </c>
      <c r="AD179" s="16">
        <f t="shared" si="32"/>
        <v>12465</v>
      </c>
      <c r="AE179" s="16"/>
      <c r="AF179" s="16">
        <f t="shared" si="33"/>
        <v>0</v>
      </c>
      <c r="AG179" s="16"/>
      <c r="AH179" s="16">
        <f t="shared" si="34"/>
        <v>0</v>
      </c>
      <c r="AI179" s="16">
        <v>18</v>
      </c>
      <c r="AJ179" s="16">
        <f t="shared" si="18"/>
        <v>8352</v>
      </c>
      <c r="AK179" s="16">
        <v>18</v>
      </c>
      <c r="AL179" s="16">
        <f t="shared" si="35"/>
        <v>1983.6000000000001</v>
      </c>
      <c r="AM179" s="16"/>
      <c r="AN179" s="16">
        <f t="shared" si="2"/>
        <v>0</v>
      </c>
      <c r="AO179" s="16"/>
      <c r="AP179" s="16">
        <f t="shared" si="36"/>
        <v>0</v>
      </c>
      <c r="AQ179" s="16"/>
      <c r="AR179" s="16">
        <f t="shared" si="21"/>
        <v>0</v>
      </c>
      <c r="AS179" s="16"/>
      <c r="AT179" s="16">
        <f t="shared" si="22"/>
        <v>0</v>
      </c>
      <c r="AU179" s="16">
        <v>27</v>
      </c>
      <c r="AV179" s="16">
        <f t="shared" si="37"/>
        <v>264654</v>
      </c>
      <c r="AW179" s="16">
        <v>27</v>
      </c>
      <c r="AX179" s="16">
        <f t="shared" si="38"/>
        <v>303804</v>
      </c>
      <c r="AY179" s="16">
        <v>9</v>
      </c>
      <c r="AZ179" s="16">
        <f t="shared" si="24"/>
        <v>29065.77</v>
      </c>
      <c r="BA179" s="16"/>
      <c r="BB179" s="16">
        <f t="shared" si="25"/>
        <v>0</v>
      </c>
      <c r="BC179" s="11">
        <f t="shared" si="28"/>
        <v>1441877.67</v>
      </c>
      <c r="BD179" s="17"/>
      <c r="BE179" s="17"/>
      <c r="BF179" s="17">
        <v>9</v>
      </c>
      <c r="BG179" s="16">
        <f t="shared" si="5"/>
        <v>207000</v>
      </c>
      <c r="BH179" s="17"/>
      <c r="BI179" s="17"/>
    </row>
    <row r="180" spans="1:61" ht="12.75">
      <c r="A180" s="38">
        <v>36075</v>
      </c>
      <c r="B180" s="39" t="s">
        <v>829</v>
      </c>
      <c r="C180" s="40" t="s">
        <v>705</v>
      </c>
      <c r="D180" s="40" t="s">
        <v>891</v>
      </c>
      <c r="E180" s="17">
        <v>32</v>
      </c>
      <c r="F180" s="16">
        <f t="shared" si="0"/>
        <v>11136</v>
      </c>
      <c r="G180" s="17">
        <v>32</v>
      </c>
      <c r="H180" s="16">
        <f t="shared" si="1"/>
        <v>9465.6</v>
      </c>
      <c r="I180" s="16"/>
      <c r="J180" s="16">
        <f t="shared" si="6"/>
        <v>0</v>
      </c>
      <c r="K180" s="16"/>
      <c r="L180" s="16">
        <f t="shared" si="7"/>
        <v>0</v>
      </c>
      <c r="M180" s="16"/>
      <c r="N180" s="16">
        <f t="shared" si="8"/>
        <v>0</v>
      </c>
      <c r="O180" s="16"/>
      <c r="P180" s="16">
        <f t="shared" si="9"/>
        <v>0</v>
      </c>
      <c r="Q180" s="16">
        <v>48</v>
      </c>
      <c r="R180" s="16">
        <f t="shared" si="29"/>
        <v>1336320</v>
      </c>
      <c r="S180" s="16">
        <v>16</v>
      </c>
      <c r="T180" s="16">
        <f t="shared" si="30"/>
        <v>54752</v>
      </c>
      <c r="U180" s="16">
        <v>16</v>
      </c>
      <c r="V180" s="16">
        <f t="shared" si="31"/>
        <v>48865.6</v>
      </c>
      <c r="W180" s="16"/>
      <c r="X180" s="16"/>
      <c r="Y180" s="16"/>
      <c r="Z180" s="16">
        <f t="shared" si="13"/>
        <v>0</v>
      </c>
      <c r="AA180" s="16"/>
      <c r="AB180" s="16">
        <f t="shared" si="14"/>
        <v>0</v>
      </c>
      <c r="AC180" s="16">
        <v>16</v>
      </c>
      <c r="AD180" s="16">
        <f t="shared" si="32"/>
        <v>22160</v>
      </c>
      <c r="AE180" s="16"/>
      <c r="AF180" s="16">
        <f t="shared" si="33"/>
        <v>0</v>
      </c>
      <c r="AG180" s="16"/>
      <c r="AH180" s="16">
        <f t="shared" si="34"/>
        <v>0</v>
      </c>
      <c r="AI180" s="16">
        <v>32</v>
      </c>
      <c r="AJ180" s="16">
        <f t="shared" si="18"/>
        <v>14848</v>
      </c>
      <c r="AK180" s="16">
        <v>32</v>
      </c>
      <c r="AL180" s="16">
        <f t="shared" si="35"/>
        <v>3526.4</v>
      </c>
      <c r="AM180" s="16"/>
      <c r="AN180" s="16">
        <f t="shared" si="2"/>
        <v>0</v>
      </c>
      <c r="AO180" s="16"/>
      <c r="AP180" s="16">
        <f t="shared" si="36"/>
        <v>0</v>
      </c>
      <c r="AQ180" s="16"/>
      <c r="AR180" s="16">
        <f t="shared" si="21"/>
        <v>0</v>
      </c>
      <c r="AS180" s="16"/>
      <c r="AT180" s="16">
        <f t="shared" si="22"/>
        <v>0</v>
      </c>
      <c r="AU180" s="16">
        <v>48</v>
      </c>
      <c r="AV180" s="16">
        <f t="shared" si="37"/>
        <v>470496</v>
      </c>
      <c r="AW180" s="16">
        <v>48</v>
      </c>
      <c r="AX180" s="16">
        <f t="shared" si="38"/>
        <v>540096</v>
      </c>
      <c r="AY180" s="16">
        <v>16</v>
      </c>
      <c r="AZ180" s="16">
        <f t="shared" si="24"/>
        <v>51672.48</v>
      </c>
      <c r="BA180" s="16"/>
      <c r="BB180" s="16">
        <f t="shared" si="25"/>
        <v>0</v>
      </c>
      <c r="BC180" s="11">
        <f t="shared" si="28"/>
        <v>2563338.08</v>
      </c>
      <c r="BD180" s="17"/>
      <c r="BE180" s="17"/>
      <c r="BF180" s="17">
        <v>16</v>
      </c>
      <c r="BG180" s="16">
        <f t="shared" si="5"/>
        <v>368000</v>
      </c>
      <c r="BH180" s="17"/>
      <c r="BI180" s="17"/>
    </row>
    <row r="181" spans="1:61" ht="22.5">
      <c r="A181" s="38">
        <v>36075</v>
      </c>
      <c r="B181" s="39" t="s">
        <v>22</v>
      </c>
      <c r="C181" s="40" t="s">
        <v>778</v>
      </c>
      <c r="D181" s="40" t="s">
        <v>821</v>
      </c>
      <c r="E181" s="17">
        <v>554</v>
      </c>
      <c r="F181" s="16">
        <f t="shared" si="0"/>
        <v>192792</v>
      </c>
      <c r="G181" s="17">
        <v>554</v>
      </c>
      <c r="H181" s="16">
        <f t="shared" si="1"/>
        <v>163873.2</v>
      </c>
      <c r="I181" s="16">
        <v>388</v>
      </c>
      <c r="J181" s="16">
        <f t="shared" si="6"/>
        <v>1620288</v>
      </c>
      <c r="K181" s="16"/>
      <c r="L181" s="16">
        <f t="shared" si="7"/>
        <v>0</v>
      </c>
      <c r="M181" s="16"/>
      <c r="N181" s="16">
        <f t="shared" si="8"/>
        <v>0</v>
      </c>
      <c r="O181" s="16"/>
      <c r="P181" s="16">
        <f t="shared" si="9"/>
        <v>0</v>
      </c>
      <c r="Q181" s="16">
        <v>794</v>
      </c>
      <c r="R181" s="16">
        <f t="shared" si="29"/>
        <v>22104960</v>
      </c>
      <c r="S181" s="16">
        <v>277</v>
      </c>
      <c r="T181" s="16">
        <f t="shared" si="30"/>
        <v>947894</v>
      </c>
      <c r="U181" s="16">
        <v>554</v>
      </c>
      <c r="V181" s="16">
        <f t="shared" si="31"/>
        <v>1691971.4</v>
      </c>
      <c r="W181" s="16"/>
      <c r="X181" s="16"/>
      <c r="Y181" s="16">
        <v>776</v>
      </c>
      <c r="Z181" s="16">
        <f t="shared" si="13"/>
        <v>4568312</v>
      </c>
      <c r="AA181" s="16"/>
      <c r="AB181" s="16">
        <f t="shared" si="14"/>
        <v>0</v>
      </c>
      <c r="AC181" s="16">
        <v>277</v>
      </c>
      <c r="AD181" s="16">
        <f t="shared" si="32"/>
        <v>383645</v>
      </c>
      <c r="AE181" s="16">
        <v>1164</v>
      </c>
      <c r="AF181" s="16">
        <f t="shared" si="33"/>
        <v>6332625.6</v>
      </c>
      <c r="AG181" s="16">
        <v>388</v>
      </c>
      <c r="AH181" s="16">
        <f t="shared" si="34"/>
        <v>3713804.08</v>
      </c>
      <c r="AI181" s="16">
        <v>554</v>
      </c>
      <c r="AJ181" s="16">
        <f t="shared" si="18"/>
        <v>257056</v>
      </c>
      <c r="AK181" s="16">
        <v>831</v>
      </c>
      <c r="AL181" s="16">
        <f t="shared" si="35"/>
        <v>91576.2</v>
      </c>
      <c r="AM181" s="16"/>
      <c r="AN181" s="16">
        <f t="shared" si="2"/>
        <v>0</v>
      </c>
      <c r="AO181" s="16">
        <v>1164</v>
      </c>
      <c r="AP181" s="16">
        <f t="shared" si="36"/>
        <v>1066689.5999999999</v>
      </c>
      <c r="AQ181" s="16">
        <v>1164</v>
      </c>
      <c r="AR181" s="16">
        <f t="shared" si="21"/>
        <v>378067.2</v>
      </c>
      <c r="AS181" s="16">
        <v>1164</v>
      </c>
      <c r="AT181" s="16">
        <f t="shared" si="22"/>
        <v>376903.2</v>
      </c>
      <c r="AU181" s="16">
        <v>554</v>
      </c>
      <c r="AV181" s="16">
        <f t="shared" si="37"/>
        <v>5430308</v>
      </c>
      <c r="AW181" s="16"/>
      <c r="AX181" s="16">
        <f t="shared" si="38"/>
        <v>0</v>
      </c>
      <c r="AY181" s="16">
        <v>277</v>
      </c>
      <c r="AZ181" s="16">
        <f t="shared" si="24"/>
        <v>894579.81</v>
      </c>
      <c r="BA181" s="16">
        <v>794</v>
      </c>
      <c r="BB181" s="16">
        <f t="shared" si="25"/>
        <v>5670327.180000001</v>
      </c>
      <c r="BC181" s="11">
        <f t="shared" si="28"/>
        <v>55885672.470000006</v>
      </c>
      <c r="BD181" s="17"/>
      <c r="BE181" s="17"/>
      <c r="BF181" s="17">
        <v>388</v>
      </c>
      <c r="BG181" s="16">
        <f t="shared" si="5"/>
        <v>8924000</v>
      </c>
      <c r="BH181" s="17"/>
      <c r="BI181" s="17"/>
    </row>
    <row r="182" spans="1:61" ht="22.5">
      <c r="A182" s="38">
        <v>36075</v>
      </c>
      <c r="B182" s="39" t="s">
        <v>22</v>
      </c>
      <c r="C182" s="40" t="s">
        <v>775</v>
      </c>
      <c r="D182" s="40" t="s">
        <v>821</v>
      </c>
      <c r="E182" s="17">
        <v>446</v>
      </c>
      <c r="F182" s="16">
        <f t="shared" si="0"/>
        <v>155208</v>
      </c>
      <c r="G182" s="17">
        <v>446</v>
      </c>
      <c r="H182" s="16">
        <f t="shared" si="1"/>
        <v>131926.80000000002</v>
      </c>
      <c r="I182" s="16">
        <v>312</v>
      </c>
      <c r="J182" s="16">
        <f t="shared" si="6"/>
        <v>1302912</v>
      </c>
      <c r="K182" s="16"/>
      <c r="L182" s="16">
        <f t="shared" si="7"/>
        <v>0</v>
      </c>
      <c r="M182" s="16"/>
      <c r="N182" s="16">
        <f t="shared" si="8"/>
        <v>0</v>
      </c>
      <c r="O182" s="16"/>
      <c r="P182" s="16">
        <f t="shared" si="9"/>
        <v>0</v>
      </c>
      <c r="Q182" s="16">
        <v>639</v>
      </c>
      <c r="R182" s="16">
        <f t="shared" si="29"/>
        <v>17789760</v>
      </c>
      <c r="S182" s="16">
        <v>223</v>
      </c>
      <c r="T182" s="16">
        <f t="shared" si="30"/>
        <v>763106</v>
      </c>
      <c r="U182" s="16">
        <v>446</v>
      </c>
      <c r="V182" s="16">
        <f t="shared" si="31"/>
        <v>1362128.5999999999</v>
      </c>
      <c r="W182" s="16"/>
      <c r="X182" s="16"/>
      <c r="Y182" s="16">
        <v>624</v>
      </c>
      <c r="Z182" s="16">
        <f t="shared" si="13"/>
        <v>3673488</v>
      </c>
      <c r="AA182" s="16"/>
      <c r="AB182" s="16">
        <f t="shared" si="14"/>
        <v>0</v>
      </c>
      <c r="AC182" s="16">
        <v>223</v>
      </c>
      <c r="AD182" s="16">
        <f t="shared" si="32"/>
        <v>308855</v>
      </c>
      <c r="AE182" s="16">
        <v>936</v>
      </c>
      <c r="AF182" s="16">
        <f t="shared" si="33"/>
        <v>5092214.399999999</v>
      </c>
      <c r="AG182" s="16">
        <v>312</v>
      </c>
      <c r="AH182" s="16">
        <f t="shared" si="34"/>
        <v>2986357.92</v>
      </c>
      <c r="AI182" s="16">
        <v>446</v>
      </c>
      <c r="AJ182" s="16">
        <f t="shared" si="18"/>
        <v>206944</v>
      </c>
      <c r="AK182" s="16">
        <v>669</v>
      </c>
      <c r="AL182" s="16">
        <f t="shared" si="35"/>
        <v>73723.8</v>
      </c>
      <c r="AM182" s="16"/>
      <c r="AN182" s="16">
        <f t="shared" si="2"/>
        <v>0</v>
      </c>
      <c r="AO182" s="16">
        <v>936</v>
      </c>
      <c r="AP182" s="16">
        <f t="shared" si="36"/>
        <v>857750.4</v>
      </c>
      <c r="AQ182" s="16">
        <v>936</v>
      </c>
      <c r="AR182" s="16">
        <f t="shared" si="21"/>
        <v>304012.8</v>
      </c>
      <c r="AS182" s="16">
        <v>936</v>
      </c>
      <c r="AT182" s="16">
        <f t="shared" si="22"/>
        <v>303076.8</v>
      </c>
      <c r="AU182" s="16">
        <v>446</v>
      </c>
      <c r="AV182" s="16">
        <f t="shared" si="37"/>
        <v>4371692</v>
      </c>
      <c r="AW182" s="16"/>
      <c r="AX182" s="16">
        <f t="shared" si="38"/>
        <v>0</v>
      </c>
      <c r="AY182" s="16">
        <v>223</v>
      </c>
      <c r="AZ182" s="16">
        <f t="shared" si="24"/>
        <v>720185.1900000001</v>
      </c>
      <c r="BA182" s="16">
        <v>639</v>
      </c>
      <c r="BB182" s="16">
        <f t="shared" si="25"/>
        <v>4563399.33</v>
      </c>
      <c r="BC182" s="11">
        <f t="shared" si="28"/>
        <v>44966741.039999984</v>
      </c>
      <c r="BD182" s="17"/>
      <c r="BE182" s="17"/>
      <c r="BF182" s="17">
        <v>312</v>
      </c>
      <c r="BG182" s="16">
        <f t="shared" si="5"/>
        <v>7176000</v>
      </c>
      <c r="BH182" s="17"/>
      <c r="BI182" s="17"/>
    </row>
    <row r="183" spans="1:61" ht="12.75">
      <c r="A183" s="38">
        <v>36078</v>
      </c>
      <c r="B183" s="39" t="s">
        <v>364</v>
      </c>
      <c r="C183" s="40" t="s">
        <v>776</v>
      </c>
      <c r="D183" s="40" t="s">
        <v>821</v>
      </c>
      <c r="E183" s="17">
        <v>100</v>
      </c>
      <c r="F183" s="16">
        <f t="shared" si="0"/>
        <v>34800</v>
      </c>
      <c r="G183" s="17">
        <v>100</v>
      </c>
      <c r="H183" s="16">
        <f t="shared" si="1"/>
        <v>29580</v>
      </c>
      <c r="I183" s="16"/>
      <c r="J183" s="16">
        <f t="shared" si="6"/>
        <v>0</v>
      </c>
      <c r="K183" s="16">
        <v>4</v>
      </c>
      <c r="L183" s="16">
        <f t="shared" si="7"/>
        <v>27078.12</v>
      </c>
      <c r="M183" s="16"/>
      <c r="N183" s="16">
        <f t="shared" si="8"/>
        <v>0</v>
      </c>
      <c r="O183" s="16"/>
      <c r="P183" s="16">
        <f t="shared" si="9"/>
        <v>0</v>
      </c>
      <c r="Q183" s="16">
        <v>50</v>
      </c>
      <c r="R183" s="16">
        <f t="shared" si="29"/>
        <v>1392000</v>
      </c>
      <c r="S183" s="16">
        <v>50</v>
      </c>
      <c r="T183" s="16">
        <f t="shared" si="30"/>
        <v>171100</v>
      </c>
      <c r="U183" s="16">
        <v>100</v>
      </c>
      <c r="V183" s="16">
        <f t="shared" si="31"/>
        <v>305410</v>
      </c>
      <c r="W183" s="16"/>
      <c r="X183" s="16"/>
      <c r="Y183" s="16"/>
      <c r="Z183" s="16">
        <f t="shared" si="13"/>
        <v>0</v>
      </c>
      <c r="AA183" s="16"/>
      <c r="AB183" s="16">
        <f t="shared" si="14"/>
        <v>0</v>
      </c>
      <c r="AC183" s="16">
        <v>50</v>
      </c>
      <c r="AD183" s="16">
        <f t="shared" si="32"/>
        <v>69250</v>
      </c>
      <c r="AE183" s="16"/>
      <c r="AF183" s="16">
        <f t="shared" si="33"/>
        <v>0</v>
      </c>
      <c r="AG183" s="16"/>
      <c r="AH183" s="16">
        <f t="shared" si="34"/>
        <v>0</v>
      </c>
      <c r="AI183" s="16">
        <v>100</v>
      </c>
      <c r="AJ183" s="16">
        <f t="shared" si="18"/>
        <v>46400</v>
      </c>
      <c r="AK183" s="16">
        <v>150</v>
      </c>
      <c r="AL183" s="16">
        <f t="shared" si="35"/>
        <v>16530</v>
      </c>
      <c r="AM183" s="16">
        <v>4</v>
      </c>
      <c r="AN183" s="16">
        <f t="shared" si="2"/>
        <v>1020069.24</v>
      </c>
      <c r="AO183" s="16"/>
      <c r="AP183" s="16">
        <f t="shared" si="36"/>
        <v>0</v>
      </c>
      <c r="AQ183" s="16"/>
      <c r="AR183" s="16">
        <f t="shared" si="21"/>
        <v>0</v>
      </c>
      <c r="AS183" s="16"/>
      <c r="AT183" s="16">
        <f t="shared" si="22"/>
        <v>0</v>
      </c>
      <c r="AU183" s="16">
        <v>50</v>
      </c>
      <c r="AV183" s="16">
        <f t="shared" si="37"/>
        <v>490100</v>
      </c>
      <c r="AW183" s="16"/>
      <c r="AX183" s="16">
        <f t="shared" si="38"/>
        <v>0</v>
      </c>
      <c r="AY183" s="16">
        <v>50</v>
      </c>
      <c r="AZ183" s="16">
        <f t="shared" si="24"/>
        <v>161476.5</v>
      </c>
      <c r="BA183" s="16"/>
      <c r="BB183" s="16">
        <f t="shared" si="25"/>
        <v>0</v>
      </c>
      <c r="BC183" s="11">
        <f t="shared" si="28"/>
        <v>3763793.8600000003</v>
      </c>
      <c r="BD183" s="17"/>
      <c r="BE183" s="17"/>
      <c r="BF183" s="17">
        <v>30</v>
      </c>
      <c r="BG183" s="16">
        <f t="shared" si="5"/>
        <v>690000</v>
      </c>
      <c r="BH183" s="17"/>
      <c r="BI183" s="17"/>
    </row>
    <row r="184" spans="1:61" ht="22.5">
      <c r="A184" s="38">
        <v>36048</v>
      </c>
      <c r="B184" s="39" t="s">
        <v>893</v>
      </c>
      <c r="C184" s="40" t="s">
        <v>758</v>
      </c>
      <c r="D184" s="40" t="s">
        <v>911</v>
      </c>
      <c r="E184" s="17"/>
      <c r="F184" s="16">
        <f t="shared" si="0"/>
        <v>0</v>
      </c>
      <c r="G184" s="17"/>
      <c r="H184" s="16">
        <f t="shared" si="1"/>
        <v>0</v>
      </c>
      <c r="I184" s="16"/>
      <c r="J184" s="16">
        <f t="shared" si="6"/>
        <v>0</v>
      </c>
      <c r="K184" s="16"/>
      <c r="L184" s="16">
        <f t="shared" si="7"/>
        <v>0</v>
      </c>
      <c r="M184" s="16"/>
      <c r="N184" s="16">
        <f t="shared" si="8"/>
        <v>0</v>
      </c>
      <c r="O184" s="16"/>
      <c r="P184" s="16">
        <f t="shared" si="9"/>
        <v>0</v>
      </c>
      <c r="Q184" s="16"/>
      <c r="R184" s="16">
        <f t="shared" si="29"/>
        <v>0</v>
      </c>
      <c r="S184" s="16"/>
      <c r="T184" s="16">
        <f t="shared" si="30"/>
        <v>0</v>
      </c>
      <c r="U184" s="16"/>
      <c r="V184" s="16">
        <f t="shared" si="31"/>
        <v>0</v>
      </c>
      <c r="W184" s="16"/>
      <c r="X184" s="16"/>
      <c r="Y184" s="16"/>
      <c r="Z184" s="16">
        <f t="shared" si="13"/>
        <v>0</v>
      </c>
      <c r="AA184" s="16"/>
      <c r="AB184" s="16">
        <f t="shared" si="14"/>
        <v>0</v>
      </c>
      <c r="AC184" s="16"/>
      <c r="AD184" s="16">
        <f t="shared" si="32"/>
        <v>0</v>
      </c>
      <c r="AE184" s="16"/>
      <c r="AF184" s="16">
        <f t="shared" si="33"/>
        <v>0</v>
      </c>
      <c r="AG184" s="16"/>
      <c r="AH184" s="16">
        <f t="shared" si="34"/>
        <v>0</v>
      </c>
      <c r="AI184" s="16"/>
      <c r="AJ184" s="16">
        <f t="shared" si="18"/>
        <v>0</v>
      </c>
      <c r="AK184" s="16"/>
      <c r="AL184" s="16">
        <f t="shared" si="35"/>
        <v>0</v>
      </c>
      <c r="AM184" s="16"/>
      <c r="AN184" s="16">
        <f t="shared" si="2"/>
        <v>0</v>
      </c>
      <c r="AO184" s="16"/>
      <c r="AP184" s="16">
        <f t="shared" si="36"/>
        <v>0</v>
      </c>
      <c r="AQ184" s="16"/>
      <c r="AR184" s="16">
        <f t="shared" si="21"/>
        <v>0</v>
      </c>
      <c r="AS184" s="16"/>
      <c r="AT184" s="16">
        <f t="shared" si="22"/>
        <v>0</v>
      </c>
      <c r="AU184" s="16"/>
      <c r="AV184" s="16">
        <f t="shared" si="37"/>
        <v>0</v>
      </c>
      <c r="AW184" s="16"/>
      <c r="AX184" s="16">
        <f t="shared" si="38"/>
        <v>0</v>
      </c>
      <c r="AY184" s="16"/>
      <c r="AZ184" s="16">
        <f t="shared" si="24"/>
        <v>0</v>
      </c>
      <c r="BA184" s="16"/>
      <c r="BB184" s="16">
        <f t="shared" si="25"/>
        <v>0</v>
      </c>
      <c r="BC184" s="11">
        <f t="shared" si="28"/>
        <v>0</v>
      </c>
      <c r="BD184" s="17"/>
      <c r="BE184" s="17"/>
      <c r="BF184" s="17"/>
      <c r="BG184" s="16">
        <f t="shared" si="5"/>
        <v>0</v>
      </c>
      <c r="BH184" s="17">
        <v>1000</v>
      </c>
      <c r="BI184" s="17">
        <f>1000*5900*1.16</f>
        <v>6843999.999999999</v>
      </c>
    </row>
    <row r="185" spans="1:61" ht="12.75">
      <c r="A185" s="38">
        <v>36092</v>
      </c>
      <c r="B185" s="39" t="s">
        <v>22</v>
      </c>
      <c r="C185" s="40" t="s">
        <v>24</v>
      </c>
      <c r="D185" s="40" t="s">
        <v>821</v>
      </c>
      <c r="E185" s="17">
        <v>372</v>
      </c>
      <c r="F185" s="16">
        <f t="shared" si="0"/>
        <v>129456</v>
      </c>
      <c r="G185" s="17">
        <v>186</v>
      </c>
      <c r="H185" s="16">
        <f t="shared" si="1"/>
        <v>55018.8</v>
      </c>
      <c r="I185" s="16">
        <v>186</v>
      </c>
      <c r="J185" s="16">
        <f t="shared" si="6"/>
        <v>776736</v>
      </c>
      <c r="K185" s="16"/>
      <c r="L185" s="16">
        <f t="shared" si="7"/>
        <v>0</v>
      </c>
      <c r="M185" s="16"/>
      <c r="N185" s="16">
        <f t="shared" si="8"/>
        <v>0</v>
      </c>
      <c r="O185" s="16"/>
      <c r="P185" s="16">
        <f t="shared" si="9"/>
        <v>0</v>
      </c>
      <c r="Q185" s="16">
        <v>372</v>
      </c>
      <c r="R185" s="16">
        <f t="shared" si="29"/>
        <v>10356480</v>
      </c>
      <c r="S185" s="16">
        <v>186</v>
      </c>
      <c r="T185" s="16">
        <f t="shared" si="30"/>
        <v>636492</v>
      </c>
      <c r="U185" s="16">
        <v>186</v>
      </c>
      <c r="V185" s="16">
        <f t="shared" si="31"/>
        <v>568062.6</v>
      </c>
      <c r="W185" s="16"/>
      <c r="X185" s="16"/>
      <c r="Y185" s="16">
        <v>186</v>
      </c>
      <c r="Z185" s="16">
        <f t="shared" si="13"/>
        <v>1094982</v>
      </c>
      <c r="AA185" s="16"/>
      <c r="AB185" s="16">
        <f t="shared" si="14"/>
        <v>0</v>
      </c>
      <c r="AC185" s="16">
        <v>186</v>
      </c>
      <c r="AD185" s="16">
        <f t="shared" si="32"/>
        <v>257610</v>
      </c>
      <c r="AE185" s="16">
        <v>186</v>
      </c>
      <c r="AF185" s="16">
        <f t="shared" si="33"/>
        <v>1011914.3999999999</v>
      </c>
      <c r="AG185" s="16">
        <v>186</v>
      </c>
      <c r="AH185" s="16">
        <f t="shared" si="34"/>
        <v>1780328.76</v>
      </c>
      <c r="AI185" s="16">
        <v>372</v>
      </c>
      <c r="AJ185" s="16">
        <f t="shared" si="18"/>
        <v>172608</v>
      </c>
      <c r="AK185" s="16">
        <v>186</v>
      </c>
      <c r="AL185" s="16">
        <f t="shared" si="35"/>
        <v>20497.2</v>
      </c>
      <c r="AM185" s="16"/>
      <c r="AN185" s="16">
        <f t="shared" si="2"/>
        <v>0</v>
      </c>
      <c r="AO185" s="16">
        <v>186</v>
      </c>
      <c r="AP185" s="16">
        <f t="shared" si="36"/>
        <v>170450.4</v>
      </c>
      <c r="AQ185" s="16"/>
      <c r="AR185" s="16">
        <f t="shared" si="21"/>
        <v>0</v>
      </c>
      <c r="AS185" s="16">
        <v>372</v>
      </c>
      <c r="AT185" s="16">
        <f t="shared" si="22"/>
        <v>120453.6</v>
      </c>
      <c r="AU185" s="16">
        <f>300+372</f>
        <v>672</v>
      </c>
      <c r="AV185" s="16">
        <f t="shared" si="37"/>
        <v>6586944</v>
      </c>
      <c r="AW185" s="16"/>
      <c r="AX185" s="16">
        <f t="shared" si="38"/>
        <v>0</v>
      </c>
      <c r="AY185" s="16">
        <v>186</v>
      </c>
      <c r="AZ185" s="16">
        <f t="shared" si="24"/>
        <v>600692.5800000001</v>
      </c>
      <c r="BA185" s="16">
        <v>372</v>
      </c>
      <c r="BB185" s="16">
        <f t="shared" si="25"/>
        <v>2656626.8400000003</v>
      </c>
      <c r="BC185" s="11">
        <f t="shared" si="28"/>
        <v>26995353.180000003</v>
      </c>
      <c r="BD185" s="17"/>
      <c r="BE185" s="17"/>
      <c r="BF185" s="17">
        <f>15+186</f>
        <v>201</v>
      </c>
      <c r="BG185" s="16">
        <f t="shared" si="5"/>
        <v>4623000</v>
      </c>
      <c r="BH185" s="17"/>
      <c r="BI185" s="17"/>
    </row>
    <row r="186" spans="1:61" ht="12.75">
      <c r="A186" s="38">
        <v>36084</v>
      </c>
      <c r="B186" s="39" t="s">
        <v>126</v>
      </c>
      <c r="C186" s="40" t="s">
        <v>545</v>
      </c>
      <c r="D186" s="40" t="s">
        <v>821</v>
      </c>
      <c r="E186" s="17">
        <v>140</v>
      </c>
      <c r="F186" s="16">
        <f t="shared" si="0"/>
        <v>48720</v>
      </c>
      <c r="G186" s="17">
        <v>140</v>
      </c>
      <c r="H186" s="16">
        <f t="shared" si="1"/>
        <v>41412</v>
      </c>
      <c r="I186" s="16">
        <v>70</v>
      </c>
      <c r="J186" s="16">
        <f t="shared" si="6"/>
        <v>292320</v>
      </c>
      <c r="K186" s="16"/>
      <c r="L186" s="16">
        <f t="shared" si="7"/>
        <v>0</v>
      </c>
      <c r="M186" s="16">
        <v>140</v>
      </c>
      <c r="N186" s="16">
        <f t="shared" si="8"/>
        <v>347928</v>
      </c>
      <c r="O186" s="16"/>
      <c r="P186" s="16">
        <f t="shared" si="9"/>
        <v>0</v>
      </c>
      <c r="Q186" s="16"/>
      <c r="R186" s="16">
        <f t="shared" si="29"/>
        <v>0</v>
      </c>
      <c r="S186" s="16">
        <v>140</v>
      </c>
      <c r="T186" s="16">
        <f t="shared" si="30"/>
        <v>479080</v>
      </c>
      <c r="U186" s="16"/>
      <c r="V186" s="16">
        <f t="shared" si="31"/>
        <v>0</v>
      </c>
      <c r="W186" s="16"/>
      <c r="X186" s="16"/>
      <c r="Y186" s="16">
        <v>70</v>
      </c>
      <c r="Z186" s="16">
        <f t="shared" si="13"/>
        <v>412090</v>
      </c>
      <c r="AA186" s="16"/>
      <c r="AB186" s="16">
        <f t="shared" si="14"/>
        <v>0</v>
      </c>
      <c r="AC186" s="16">
        <v>140</v>
      </c>
      <c r="AD186" s="16">
        <f t="shared" si="32"/>
        <v>193900</v>
      </c>
      <c r="AE186" s="16"/>
      <c r="AF186" s="16">
        <f t="shared" si="33"/>
        <v>0</v>
      </c>
      <c r="AG186" s="16">
        <v>70</v>
      </c>
      <c r="AH186" s="16">
        <f t="shared" si="34"/>
        <v>670016.2</v>
      </c>
      <c r="AI186" s="16">
        <v>140</v>
      </c>
      <c r="AJ186" s="16">
        <f t="shared" si="18"/>
        <v>64960</v>
      </c>
      <c r="AK186" s="16"/>
      <c r="AL186" s="16">
        <f t="shared" si="35"/>
        <v>0</v>
      </c>
      <c r="AM186" s="16"/>
      <c r="AN186" s="16">
        <f t="shared" si="2"/>
        <v>0</v>
      </c>
      <c r="AO186" s="16">
        <v>70</v>
      </c>
      <c r="AP186" s="16">
        <f t="shared" si="36"/>
        <v>64148</v>
      </c>
      <c r="AQ186" s="16"/>
      <c r="AR186" s="16">
        <f t="shared" si="21"/>
        <v>0</v>
      </c>
      <c r="AS186" s="16">
        <v>140</v>
      </c>
      <c r="AT186" s="16">
        <f t="shared" si="22"/>
        <v>45332</v>
      </c>
      <c r="AU186" s="16">
        <v>140</v>
      </c>
      <c r="AV186" s="16">
        <f t="shared" si="37"/>
        <v>1372280</v>
      </c>
      <c r="AW186" s="16"/>
      <c r="AX186" s="16">
        <f t="shared" si="38"/>
        <v>0</v>
      </c>
      <c r="AY186" s="16">
        <v>140</v>
      </c>
      <c r="AZ186" s="16">
        <f t="shared" si="24"/>
        <v>452134.2</v>
      </c>
      <c r="BA186" s="16"/>
      <c r="BB186" s="16">
        <f t="shared" si="25"/>
        <v>0</v>
      </c>
      <c r="BC186" s="11">
        <f t="shared" si="28"/>
        <v>4484320.4</v>
      </c>
      <c r="BD186" s="17"/>
      <c r="BE186" s="17"/>
      <c r="BF186" s="17"/>
      <c r="BG186" s="16">
        <f t="shared" si="5"/>
        <v>0</v>
      </c>
      <c r="BH186" s="17"/>
      <c r="BI186" s="17"/>
    </row>
    <row r="187" spans="1:61" ht="12.75">
      <c r="A187" s="38">
        <v>36093</v>
      </c>
      <c r="B187" s="39" t="s">
        <v>100</v>
      </c>
      <c r="C187" s="40" t="s">
        <v>401</v>
      </c>
      <c r="D187" s="40" t="s">
        <v>107</v>
      </c>
      <c r="E187" s="17">
        <v>300</v>
      </c>
      <c r="F187" s="16">
        <f t="shared" si="0"/>
        <v>104400</v>
      </c>
      <c r="G187" s="17">
        <v>300</v>
      </c>
      <c r="H187" s="16">
        <f t="shared" si="1"/>
        <v>88740</v>
      </c>
      <c r="I187" s="16">
        <v>150</v>
      </c>
      <c r="J187" s="16">
        <f t="shared" si="6"/>
        <v>626400</v>
      </c>
      <c r="K187" s="16">
        <v>3</v>
      </c>
      <c r="L187" s="16">
        <f t="shared" si="7"/>
        <v>20308.59</v>
      </c>
      <c r="M187" s="16"/>
      <c r="N187" s="16">
        <f t="shared" si="8"/>
        <v>0</v>
      </c>
      <c r="O187" s="16"/>
      <c r="P187" s="16">
        <f t="shared" si="9"/>
        <v>0</v>
      </c>
      <c r="Q187" s="16">
        <v>450</v>
      </c>
      <c r="R187" s="16">
        <f t="shared" si="29"/>
        <v>12528000</v>
      </c>
      <c r="S187" s="16">
        <v>150</v>
      </c>
      <c r="T187" s="16">
        <f t="shared" si="30"/>
        <v>513300</v>
      </c>
      <c r="U187" s="16">
        <v>300</v>
      </c>
      <c r="V187" s="16">
        <f t="shared" si="31"/>
        <v>916230</v>
      </c>
      <c r="W187" s="16"/>
      <c r="X187" s="16"/>
      <c r="Y187" s="16">
        <v>300</v>
      </c>
      <c r="Z187" s="16">
        <f t="shared" si="13"/>
        <v>1766100</v>
      </c>
      <c r="AA187" s="16"/>
      <c r="AB187" s="16">
        <f t="shared" si="14"/>
        <v>0</v>
      </c>
      <c r="AC187" s="16">
        <v>150</v>
      </c>
      <c r="AD187" s="16">
        <f t="shared" si="32"/>
        <v>207750</v>
      </c>
      <c r="AE187" s="16">
        <v>450</v>
      </c>
      <c r="AF187" s="16">
        <f t="shared" si="33"/>
        <v>2448180</v>
      </c>
      <c r="AG187" s="16">
        <v>150</v>
      </c>
      <c r="AH187" s="16">
        <f t="shared" si="34"/>
        <v>1435749</v>
      </c>
      <c r="AI187" s="16">
        <v>300</v>
      </c>
      <c r="AJ187" s="16">
        <f t="shared" si="18"/>
        <v>139200</v>
      </c>
      <c r="AK187" s="16">
        <v>450</v>
      </c>
      <c r="AL187" s="16">
        <f t="shared" si="35"/>
        <v>49590</v>
      </c>
      <c r="AM187" s="16">
        <v>3</v>
      </c>
      <c r="AN187" s="16">
        <f t="shared" si="2"/>
        <v>765051.9299999999</v>
      </c>
      <c r="AO187" s="16">
        <v>450</v>
      </c>
      <c r="AP187" s="16">
        <f t="shared" si="36"/>
        <v>412380</v>
      </c>
      <c r="AQ187" s="16"/>
      <c r="AR187" s="16">
        <f t="shared" si="21"/>
        <v>0</v>
      </c>
      <c r="AS187" s="16">
        <v>450</v>
      </c>
      <c r="AT187" s="16">
        <f t="shared" si="22"/>
        <v>145710</v>
      </c>
      <c r="AU187" s="16">
        <v>450</v>
      </c>
      <c r="AV187" s="16">
        <f t="shared" si="37"/>
        <v>4410900</v>
      </c>
      <c r="AW187" s="16">
        <v>450</v>
      </c>
      <c r="AX187" s="16">
        <f t="shared" si="38"/>
        <v>5063400</v>
      </c>
      <c r="AY187" s="16">
        <v>150</v>
      </c>
      <c r="AZ187" s="16">
        <f t="shared" si="24"/>
        <v>484429.50000000006</v>
      </c>
      <c r="BA187" s="16"/>
      <c r="BB187" s="16">
        <f t="shared" si="25"/>
        <v>0</v>
      </c>
      <c r="BC187" s="11">
        <f t="shared" si="28"/>
        <v>32125819.02</v>
      </c>
      <c r="BD187" s="17"/>
      <c r="BE187" s="17"/>
      <c r="BF187" s="17">
        <v>150</v>
      </c>
      <c r="BG187" s="16">
        <f t="shared" si="5"/>
        <v>3450000</v>
      </c>
      <c r="BH187" s="17"/>
      <c r="BI187" s="17"/>
    </row>
    <row r="188" spans="1:61" ht="12.75">
      <c r="A188" s="38">
        <v>36086</v>
      </c>
      <c r="B188" s="39" t="s">
        <v>820</v>
      </c>
      <c r="C188" s="40" t="s">
        <v>810</v>
      </c>
      <c r="D188" s="40" t="s">
        <v>707</v>
      </c>
      <c r="E188" s="17">
        <v>60</v>
      </c>
      <c r="F188" s="16">
        <f t="shared" si="0"/>
        <v>20880</v>
      </c>
      <c r="G188" s="17">
        <v>40</v>
      </c>
      <c r="H188" s="16">
        <f t="shared" si="1"/>
        <v>11832</v>
      </c>
      <c r="I188" s="16">
        <v>20</v>
      </c>
      <c r="J188" s="16">
        <f t="shared" si="6"/>
        <v>83520</v>
      </c>
      <c r="K188" s="16">
        <v>10</v>
      </c>
      <c r="L188" s="16">
        <f t="shared" si="7"/>
        <v>67695.3</v>
      </c>
      <c r="M188" s="16"/>
      <c r="N188" s="16">
        <f t="shared" si="8"/>
        <v>0</v>
      </c>
      <c r="O188" s="16"/>
      <c r="P188" s="16">
        <f t="shared" si="9"/>
        <v>0</v>
      </c>
      <c r="Q188" s="16"/>
      <c r="R188" s="16">
        <f t="shared" si="29"/>
        <v>0</v>
      </c>
      <c r="S188" s="16">
        <v>20</v>
      </c>
      <c r="T188" s="16">
        <f t="shared" si="30"/>
        <v>68440</v>
      </c>
      <c r="U188" s="16">
        <v>20</v>
      </c>
      <c r="V188" s="16">
        <f t="shared" si="31"/>
        <v>61082</v>
      </c>
      <c r="W188" s="16"/>
      <c r="X188" s="16"/>
      <c r="Y188" s="16"/>
      <c r="Z188" s="16">
        <f t="shared" si="13"/>
        <v>0</v>
      </c>
      <c r="AA188" s="16"/>
      <c r="AB188" s="16">
        <f t="shared" si="14"/>
        <v>0</v>
      </c>
      <c r="AC188" s="16">
        <v>20</v>
      </c>
      <c r="AD188" s="16">
        <f t="shared" si="32"/>
        <v>27700</v>
      </c>
      <c r="AE188" s="16"/>
      <c r="AF188" s="16">
        <f t="shared" si="33"/>
        <v>0</v>
      </c>
      <c r="AG188" s="16">
        <v>20</v>
      </c>
      <c r="AH188" s="16">
        <f t="shared" si="34"/>
        <v>191433.2</v>
      </c>
      <c r="AI188" s="16">
        <v>40</v>
      </c>
      <c r="AJ188" s="16">
        <f t="shared" si="18"/>
        <v>18560</v>
      </c>
      <c r="AK188" s="16">
        <v>20</v>
      </c>
      <c r="AL188" s="16">
        <f t="shared" si="35"/>
        <v>2204</v>
      </c>
      <c r="AM188" s="16">
        <v>10</v>
      </c>
      <c r="AN188" s="16">
        <f t="shared" si="2"/>
        <v>2550173.1</v>
      </c>
      <c r="AO188" s="16"/>
      <c r="AP188" s="16">
        <f t="shared" si="36"/>
        <v>0</v>
      </c>
      <c r="AQ188" s="16"/>
      <c r="AR188" s="16">
        <f t="shared" si="21"/>
        <v>0</v>
      </c>
      <c r="AS188" s="16"/>
      <c r="AT188" s="16">
        <f t="shared" si="22"/>
        <v>0</v>
      </c>
      <c r="AU188" s="16">
        <v>60</v>
      </c>
      <c r="AV188" s="16">
        <f t="shared" si="37"/>
        <v>588120</v>
      </c>
      <c r="AW188" s="16"/>
      <c r="AX188" s="16">
        <f t="shared" si="38"/>
        <v>0</v>
      </c>
      <c r="AY188" s="16">
        <v>20</v>
      </c>
      <c r="AZ188" s="16">
        <f t="shared" si="24"/>
        <v>64590.600000000006</v>
      </c>
      <c r="BA188" s="16"/>
      <c r="BB188" s="16">
        <f t="shared" si="25"/>
        <v>0</v>
      </c>
      <c r="BC188" s="11">
        <f t="shared" si="28"/>
        <v>3756230.2</v>
      </c>
      <c r="BD188" s="17"/>
      <c r="BE188" s="17"/>
      <c r="BF188" s="17" t="s">
        <v>811</v>
      </c>
      <c r="BG188" s="16">
        <v>230733.33</v>
      </c>
      <c r="BH188" s="17"/>
      <c r="BI188" s="17"/>
    </row>
    <row r="189" spans="1:61" ht="12.75">
      <c r="A189" s="38">
        <v>36092</v>
      </c>
      <c r="B189" s="39" t="s">
        <v>22</v>
      </c>
      <c r="C189" s="40" t="s">
        <v>812</v>
      </c>
      <c r="D189" s="40" t="s">
        <v>821</v>
      </c>
      <c r="E189" s="17">
        <v>462</v>
      </c>
      <c r="F189" s="16">
        <f t="shared" si="0"/>
        <v>160776</v>
      </c>
      <c r="G189" s="17">
        <v>231</v>
      </c>
      <c r="H189" s="16">
        <f t="shared" si="1"/>
        <v>68329.8</v>
      </c>
      <c r="I189" s="16">
        <v>231</v>
      </c>
      <c r="J189" s="16">
        <f t="shared" si="6"/>
        <v>964656</v>
      </c>
      <c r="K189" s="16"/>
      <c r="L189" s="16">
        <f t="shared" si="7"/>
        <v>0</v>
      </c>
      <c r="M189" s="16"/>
      <c r="N189" s="16">
        <f t="shared" si="8"/>
        <v>0</v>
      </c>
      <c r="O189" s="16"/>
      <c r="P189" s="16">
        <f t="shared" si="9"/>
        <v>0</v>
      </c>
      <c r="Q189" s="16">
        <v>462</v>
      </c>
      <c r="R189" s="16">
        <f t="shared" si="29"/>
        <v>12862080</v>
      </c>
      <c r="S189" s="16">
        <v>231</v>
      </c>
      <c r="T189" s="16">
        <f t="shared" si="30"/>
        <v>790482</v>
      </c>
      <c r="U189" s="16">
        <v>231</v>
      </c>
      <c r="V189" s="16">
        <f t="shared" si="31"/>
        <v>705497.1</v>
      </c>
      <c r="W189" s="16"/>
      <c r="X189" s="16"/>
      <c r="Y189" s="16">
        <v>231</v>
      </c>
      <c r="Z189" s="16">
        <f t="shared" si="13"/>
        <v>1359897</v>
      </c>
      <c r="AA189" s="16"/>
      <c r="AB189" s="16">
        <f t="shared" si="14"/>
        <v>0</v>
      </c>
      <c r="AC189" s="16">
        <v>231</v>
      </c>
      <c r="AD189" s="16">
        <f t="shared" si="32"/>
        <v>319935</v>
      </c>
      <c r="AE189" s="16">
        <v>231</v>
      </c>
      <c r="AF189" s="16">
        <f t="shared" si="33"/>
        <v>1256732.4</v>
      </c>
      <c r="AG189" s="16">
        <v>231</v>
      </c>
      <c r="AH189" s="16">
        <f t="shared" si="34"/>
        <v>2211053.46</v>
      </c>
      <c r="AI189" s="16">
        <v>462</v>
      </c>
      <c r="AJ189" s="16">
        <f t="shared" si="18"/>
        <v>214368</v>
      </c>
      <c r="AK189" s="16">
        <v>231</v>
      </c>
      <c r="AL189" s="16">
        <f t="shared" si="35"/>
        <v>25456.2</v>
      </c>
      <c r="AM189" s="16"/>
      <c r="AN189" s="16">
        <f t="shared" si="2"/>
        <v>0</v>
      </c>
      <c r="AO189" s="16">
        <v>231</v>
      </c>
      <c r="AP189" s="16">
        <f t="shared" si="36"/>
        <v>211688.4</v>
      </c>
      <c r="AQ189" s="16"/>
      <c r="AR189" s="16">
        <f t="shared" si="21"/>
        <v>0</v>
      </c>
      <c r="AS189" s="16">
        <v>462</v>
      </c>
      <c r="AT189" s="16">
        <f t="shared" si="22"/>
        <v>149595.6</v>
      </c>
      <c r="AU189" s="16">
        <v>462</v>
      </c>
      <c r="AV189" s="16">
        <f t="shared" si="37"/>
        <v>4528524</v>
      </c>
      <c r="AW189" s="16"/>
      <c r="AX189" s="16">
        <f t="shared" si="38"/>
        <v>0</v>
      </c>
      <c r="AY189" s="16">
        <v>231</v>
      </c>
      <c r="AZ189" s="16">
        <f t="shared" si="24"/>
        <v>746021.43</v>
      </c>
      <c r="BA189" s="16">
        <v>462</v>
      </c>
      <c r="BB189" s="16">
        <f t="shared" si="25"/>
        <v>3299359.14</v>
      </c>
      <c r="BC189" s="11">
        <f t="shared" si="28"/>
        <v>29874451.529999997</v>
      </c>
      <c r="BD189" s="17"/>
      <c r="BE189" s="17"/>
      <c r="BF189" s="17">
        <v>231</v>
      </c>
      <c r="BG189" s="16">
        <f t="shared" si="5"/>
        <v>5313000</v>
      </c>
      <c r="BH189" s="17"/>
      <c r="BI189" s="17"/>
    </row>
    <row r="190" spans="1:61" ht="12.75">
      <c r="A190" s="38">
        <v>35952</v>
      </c>
      <c r="B190" s="39" t="s">
        <v>59</v>
      </c>
      <c r="C190" s="40" t="s">
        <v>505</v>
      </c>
      <c r="D190" s="40" t="s">
        <v>911</v>
      </c>
      <c r="E190" s="17"/>
      <c r="F190" s="16">
        <f t="shared" si="0"/>
        <v>0</v>
      </c>
      <c r="G190" s="17"/>
      <c r="H190" s="16">
        <f t="shared" si="1"/>
        <v>0</v>
      </c>
      <c r="I190" s="16"/>
      <c r="J190" s="16">
        <f t="shared" si="6"/>
        <v>0</v>
      </c>
      <c r="K190" s="16"/>
      <c r="L190" s="16">
        <f t="shared" si="7"/>
        <v>0</v>
      </c>
      <c r="M190" s="16"/>
      <c r="N190" s="16">
        <f t="shared" si="8"/>
        <v>0</v>
      </c>
      <c r="O190" s="16"/>
      <c r="P190" s="16">
        <f t="shared" si="9"/>
        <v>0</v>
      </c>
      <c r="Q190" s="16"/>
      <c r="R190" s="16">
        <f t="shared" si="29"/>
        <v>0</v>
      </c>
      <c r="S190" s="16"/>
      <c r="T190" s="16">
        <f t="shared" si="30"/>
        <v>0</v>
      </c>
      <c r="U190" s="16"/>
      <c r="V190" s="16">
        <f t="shared" si="31"/>
        <v>0</v>
      </c>
      <c r="W190" s="16"/>
      <c r="X190" s="16"/>
      <c r="Y190" s="16"/>
      <c r="Z190" s="16">
        <f t="shared" si="13"/>
        <v>0</v>
      </c>
      <c r="AA190" s="16"/>
      <c r="AB190" s="16">
        <f t="shared" si="14"/>
        <v>0</v>
      </c>
      <c r="AC190" s="16"/>
      <c r="AD190" s="16">
        <f t="shared" si="32"/>
        <v>0</v>
      </c>
      <c r="AE190" s="16"/>
      <c r="AF190" s="16">
        <f t="shared" si="33"/>
        <v>0</v>
      </c>
      <c r="AG190" s="16"/>
      <c r="AH190" s="16">
        <f t="shared" si="34"/>
        <v>0</v>
      </c>
      <c r="AI190" s="16"/>
      <c r="AJ190" s="16">
        <f t="shared" si="18"/>
        <v>0</v>
      </c>
      <c r="AK190" s="16"/>
      <c r="AL190" s="16">
        <f t="shared" si="35"/>
        <v>0</v>
      </c>
      <c r="AM190" s="16"/>
      <c r="AN190" s="16">
        <f t="shared" si="2"/>
        <v>0</v>
      </c>
      <c r="AO190" s="16"/>
      <c r="AP190" s="16">
        <f t="shared" si="36"/>
        <v>0</v>
      </c>
      <c r="AQ190" s="16"/>
      <c r="AR190" s="16">
        <f t="shared" si="21"/>
        <v>0</v>
      </c>
      <c r="AS190" s="16"/>
      <c r="AT190" s="16">
        <f t="shared" si="22"/>
        <v>0</v>
      </c>
      <c r="AU190" s="16"/>
      <c r="AV190" s="16">
        <f t="shared" si="37"/>
        <v>0</v>
      </c>
      <c r="AW190" s="16"/>
      <c r="AX190" s="16">
        <f t="shared" si="38"/>
        <v>0</v>
      </c>
      <c r="AY190" s="16"/>
      <c r="AZ190" s="16">
        <f t="shared" si="24"/>
        <v>0</v>
      </c>
      <c r="BA190" s="16"/>
      <c r="BB190" s="16">
        <f t="shared" si="25"/>
        <v>0</v>
      </c>
      <c r="BC190" s="11">
        <f t="shared" si="28"/>
        <v>0</v>
      </c>
      <c r="BD190" s="17"/>
      <c r="BE190" s="17"/>
      <c r="BF190" s="17"/>
      <c r="BG190" s="16">
        <f t="shared" si="5"/>
        <v>0</v>
      </c>
      <c r="BH190" s="17">
        <v>414</v>
      </c>
      <c r="BI190" s="17">
        <f>414*5934*1.16</f>
        <v>2849744.1599999997</v>
      </c>
    </row>
    <row r="191" spans="1:61" ht="12.75">
      <c r="A191" s="38">
        <v>36052</v>
      </c>
      <c r="B191" s="39" t="s">
        <v>59</v>
      </c>
      <c r="C191" s="40" t="s">
        <v>505</v>
      </c>
      <c r="D191" s="40" t="s">
        <v>821</v>
      </c>
      <c r="E191" s="17"/>
      <c r="F191" s="16">
        <f t="shared" si="0"/>
        <v>0</v>
      </c>
      <c r="G191" s="17"/>
      <c r="H191" s="16">
        <f t="shared" si="1"/>
        <v>0</v>
      </c>
      <c r="I191" s="16"/>
      <c r="J191" s="16">
        <f t="shared" si="6"/>
        <v>0</v>
      </c>
      <c r="K191" s="16"/>
      <c r="L191" s="16">
        <f t="shared" si="7"/>
        <v>0</v>
      </c>
      <c r="M191" s="16"/>
      <c r="N191" s="16">
        <f t="shared" si="8"/>
        <v>0</v>
      </c>
      <c r="O191" s="16"/>
      <c r="P191" s="16">
        <f t="shared" si="9"/>
        <v>0</v>
      </c>
      <c r="Q191" s="16"/>
      <c r="R191" s="16">
        <f t="shared" si="29"/>
        <v>0</v>
      </c>
      <c r="S191" s="16"/>
      <c r="T191" s="16">
        <f t="shared" si="30"/>
        <v>0</v>
      </c>
      <c r="U191" s="16"/>
      <c r="V191" s="16">
        <f t="shared" si="31"/>
        <v>0</v>
      </c>
      <c r="W191" s="16"/>
      <c r="X191" s="16"/>
      <c r="Y191" s="16"/>
      <c r="Z191" s="16">
        <f t="shared" si="13"/>
        <v>0</v>
      </c>
      <c r="AA191" s="16"/>
      <c r="AB191" s="16">
        <f t="shared" si="14"/>
        <v>0</v>
      </c>
      <c r="AC191" s="16"/>
      <c r="AD191" s="16">
        <f t="shared" si="32"/>
        <v>0</v>
      </c>
      <c r="AE191" s="16"/>
      <c r="AF191" s="16">
        <f t="shared" si="33"/>
        <v>0</v>
      </c>
      <c r="AG191" s="16"/>
      <c r="AH191" s="16">
        <f t="shared" si="34"/>
        <v>0</v>
      </c>
      <c r="AI191" s="16"/>
      <c r="AJ191" s="16">
        <f t="shared" si="18"/>
        <v>0</v>
      </c>
      <c r="AK191" s="16"/>
      <c r="AL191" s="16">
        <f t="shared" si="35"/>
        <v>0</v>
      </c>
      <c r="AM191" s="16"/>
      <c r="AN191" s="16">
        <f t="shared" si="2"/>
        <v>0</v>
      </c>
      <c r="AO191" s="16"/>
      <c r="AP191" s="16">
        <f t="shared" si="36"/>
        <v>0</v>
      </c>
      <c r="AQ191" s="16"/>
      <c r="AR191" s="16">
        <f t="shared" si="21"/>
        <v>0</v>
      </c>
      <c r="AS191" s="16"/>
      <c r="AT191" s="16">
        <f t="shared" si="22"/>
        <v>0</v>
      </c>
      <c r="AU191" s="16"/>
      <c r="AV191" s="16">
        <f t="shared" si="37"/>
        <v>0</v>
      </c>
      <c r="AW191" s="16"/>
      <c r="AX191" s="16">
        <f t="shared" si="38"/>
        <v>0</v>
      </c>
      <c r="AY191" s="16"/>
      <c r="AZ191" s="16">
        <f t="shared" si="24"/>
        <v>0</v>
      </c>
      <c r="BA191" s="16"/>
      <c r="BB191" s="16">
        <f t="shared" si="25"/>
        <v>0</v>
      </c>
      <c r="BC191" s="11">
        <f t="shared" si="28"/>
        <v>0</v>
      </c>
      <c r="BD191" s="17">
        <v>3000</v>
      </c>
      <c r="BE191" s="17">
        <f>3000*440.8</f>
        <v>1322400</v>
      </c>
      <c r="BF191" s="17"/>
      <c r="BG191" s="16">
        <f t="shared" si="5"/>
        <v>0</v>
      </c>
      <c r="BH191" s="17"/>
      <c r="BI191" s="17"/>
    </row>
    <row r="192" spans="1:61" ht="12.75">
      <c r="A192" s="38">
        <v>36085</v>
      </c>
      <c r="B192" s="39" t="s">
        <v>22</v>
      </c>
      <c r="C192" s="40" t="s">
        <v>770</v>
      </c>
      <c r="D192" s="40" t="s">
        <v>879</v>
      </c>
      <c r="E192" s="17">
        <v>10</v>
      </c>
      <c r="F192" s="16">
        <f t="shared" si="0"/>
        <v>3480</v>
      </c>
      <c r="G192" s="17">
        <v>10</v>
      </c>
      <c r="H192" s="16">
        <f t="shared" si="1"/>
        <v>2958</v>
      </c>
      <c r="I192" s="16">
        <v>5</v>
      </c>
      <c r="J192" s="16">
        <f t="shared" si="6"/>
        <v>20880</v>
      </c>
      <c r="K192" s="16"/>
      <c r="L192" s="16">
        <f t="shared" si="7"/>
        <v>0</v>
      </c>
      <c r="M192" s="16"/>
      <c r="N192" s="16">
        <f t="shared" si="8"/>
        <v>0</v>
      </c>
      <c r="O192" s="16"/>
      <c r="P192" s="16">
        <f t="shared" si="9"/>
        <v>0</v>
      </c>
      <c r="Q192" s="16">
        <v>15</v>
      </c>
      <c r="R192" s="16">
        <f t="shared" si="29"/>
        <v>417600</v>
      </c>
      <c r="S192" s="16">
        <v>5</v>
      </c>
      <c r="T192" s="16">
        <f t="shared" si="30"/>
        <v>17110</v>
      </c>
      <c r="U192" s="16">
        <v>10</v>
      </c>
      <c r="V192" s="16">
        <f t="shared" si="31"/>
        <v>30541</v>
      </c>
      <c r="W192" s="16"/>
      <c r="X192" s="16"/>
      <c r="Y192" s="16">
        <v>10</v>
      </c>
      <c r="Z192" s="16">
        <f t="shared" si="13"/>
        <v>58870</v>
      </c>
      <c r="AA192" s="16"/>
      <c r="AB192" s="16">
        <f t="shared" si="14"/>
        <v>0</v>
      </c>
      <c r="AC192" s="16">
        <v>5</v>
      </c>
      <c r="AD192" s="16">
        <f t="shared" si="32"/>
        <v>6925</v>
      </c>
      <c r="AE192" s="16">
        <v>15</v>
      </c>
      <c r="AF192" s="16">
        <f t="shared" si="33"/>
        <v>81606</v>
      </c>
      <c r="AG192" s="16">
        <v>5</v>
      </c>
      <c r="AH192" s="16">
        <f t="shared" si="34"/>
        <v>47858.3</v>
      </c>
      <c r="AI192" s="16">
        <v>10</v>
      </c>
      <c r="AJ192" s="16">
        <f t="shared" si="18"/>
        <v>4640</v>
      </c>
      <c r="AK192" s="16">
        <v>15</v>
      </c>
      <c r="AL192" s="16">
        <f t="shared" si="35"/>
        <v>1653</v>
      </c>
      <c r="AM192" s="16"/>
      <c r="AN192" s="16">
        <f t="shared" si="2"/>
        <v>0</v>
      </c>
      <c r="AO192" s="16">
        <v>15</v>
      </c>
      <c r="AP192" s="16">
        <f t="shared" si="36"/>
        <v>13746</v>
      </c>
      <c r="AQ192" s="16"/>
      <c r="AR192" s="16">
        <f t="shared" si="21"/>
        <v>0</v>
      </c>
      <c r="AS192" s="16">
        <v>15</v>
      </c>
      <c r="AT192" s="16">
        <f t="shared" si="22"/>
        <v>4857</v>
      </c>
      <c r="AU192" s="16">
        <v>15</v>
      </c>
      <c r="AV192" s="16">
        <f t="shared" si="37"/>
        <v>147030</v>
      </c>
      <c r="AW192" s="16"/>
      <c r="AX192" s="16">
        <f t="shared" si="38"/>
        <v>0</v>
      </c>
      <c r="AY192" s="16">
        <v>5</v>
      </c>
      <c r="AZ192" s="16">
        <f t="shared" si="24"/>
        <v>16147.650000000001</v>
      </c>
      <c r="BA192" s="16">
        <v>15</v>
      </c>
      <c r="BB192" s="16">
        <f t="shared" si="25"/>
        <v>107122.05</v>
      </c>
      <c r="BC192" s="11">
        <f t="shared" si="28"/>
        <v>983024.0000000001</v>
      </c>
      <c r="BD192" s="17"/>
      <c r="BE192" s="17"/>
      <c r="BF192" s="17">
        <v>5</v>
      </c>
      <c r="BG192" s="16">
        <f t="shared" si="5"/>
        <v>115000</v>
      </c>
      <c r="BH192" s="17"/>
      <c r="BI192" s="17"/>
    </row>
    <row r="193" spans="1:61" ht="12.75">
      <c r="A193" s="38">
        <v>36092</v>
      </c>
      <c r="B193" s="39" t="s">
        <v>22</v>
      </c>
      <c r="C193" s="40" t="s">
        <v>769</v>
      </c>
      <c r="D193" s="40" t="s">
        <v>821</v>
      </c>
      <c r="E193" s="17">
        <v>374</v>
      </c>
      <c r="F193" s="16">
        <f t="shared" si="0"/>
        <v>130152</v>
      </c>
      <c r="G193" s="17">
        <v>187</v>
      </c>
      <c r="H193" s="16">
        <f t="shared" si="1"/>
        <v>55314.6</v>
      </c>
      <c r="I193" s="16">
        <v>187</v>
      </c>
      <c r="J193" s="16">
        <f t="shared" si="6"/>
        <v>780912</v>
      </c>
      <c r="K193" s="16"/>
      <c r="L193" s="16">
        <f t="shared" si="7"/>
        <v>0</v>
      </c>
      <c r="M193" s="16"/>
      <c r="N193" s="16">
        <f t="shared" si="8"/>
        <v>0</v>
      </c>
      <c r="O193" s="16"/>
      <c r="P193" s="16">
        <f t="shared" si="9"/>
        <v>0</v>
      </c>
      <c r="Q193" s="16">
        <v>374</v>
      </c>
      <c r="R193" s="16">
        <f t="shared" si="29"/>
        <v>10412160</v>
      </c>
      <c r="S193" s="16">
        <v>187</v>
      </c>
      <c r="T193" s="16">
        <f t="shared" si="30"/>
        <v>639914</v>
      </c>
      <c r="U193" s="16">
        <v>187</v>
      </c>
      <c r="V193" s="16">
        <f t="shared" si="31"/>
        <v>571116.7</v>
      </c>
      <c r="W193" s="16"/>
      <c r="X193" s="16"/>
      <c r="Y193" s="16">
        <v>187</v>
      </c>
      <c r="Z193" s="16">
        <f t="shared" si="13"/>
        <v>1100869</v>
      </c>
      <c r="AA193" s="16"/>
      <c r="AB193" s="16">
        <f t="shared" si="14"/>
        <v>0</v>
      </c>
      <c r="AC193" s="16">
        <v>187</v>
      </c>
      <c r="AD193" s="16">
        <f t="shared" si="32"/>
        <v>258995</v>
      </c>
      <c r="AE193" s="16">
        <v>187</v>
      </c>
      <c r="AF193" s="16">
        <f t="shared" si="33"/>
        <v>1017354.7999999999</v>
      </c>
      <c r="AG193" s="16">
        <v>187</v>
      </c>
      <c r="AH193" s="16">
        <f t="shared" si="34"/>
        <v>1789900.42</v>
      </c>
      <c r="AI193" s="16">
        <v>374</v>
      </c>
      <c r="AJ193" s="16">
        <f t="shared" si="18"/>
        <v>173536</v>
      </c>
      <c r="AK193" s="16">
        <v>187</v>
      </c>
      <c r="AL193" s="16">
        <f t="shared" si="35"/>
        <v>20607.4</v>
      </c>
      <c r="AM193" s="16"/>
      <c r="AN193" s="16">
        <f t="shared" si="2"/>
        <v>0</v>
      </c>
      <c r="AO193" s="16">
        <v>187</v>
      </c>
      <c r="AP193" s="16">
        <f t="shared" si="36"/>
        <v>171366.8</v>
      </c>
      <c r="AQ193" s="16"/>
      <c r="AR193" s="16">
        <f t="shared" si="21"/>
        <v>0</v>
      </c>
      <c r="AS193" s="16">
        <v>374</v>
      </c>
      <c r="AT193" s="16">
        <f t="shared" si="22"/>
        <v>121101.2</v>
      </c>
      <c r="AU193" s="16">
        <v>374</v>
      </c>
      <c r="AV193" s="16">
        <f t="shared" si="37"/>
        <v>3665948</v>
      </c>
      <c r="AW193" s="16"/>
      <c r="AX193" s="16">
        <f t="shared" si="38"/>
        <v>0</v>
      </c>
      <c r="AY193" s="16">
        <v>187</v>
      </c>
      <c r="AZ193" s="16">
        <f t="shared" si="24"/>
        <v>603922.11</v>
      </c>
      <c r="BA193" s="16">
        <v>374</v>
      </c>
      <c r="BB193" s="16">
        <f t="shared" si="25"/>
        <v>2670909.7800000003</v>
      </c>
      <c r="BC193" s="11">
        <f t="shared" si="28"/>
        <v>24184079.81</v>
      </c>
      <c r="BD193" s="17"/>
      <c r="BE193" s="17"/>
      <c r="BF193" s="17">
        <v>187</v>
      </c>
      <c r="BG193" s="16">
        <f t="shared" si="5"/>
        <v>4301000</v>
      </c>
      <c r="BH193" s="17"/>
      <c r="BI193" s="17"/>
    </row>
    <row r="194" spans="1:61" ht="12.75">
      <c r="A194" s="38">
        <v>36092</v>
      </c>
      <c r="B194" s="39" t="s">
        <v>22</v>
      </c>
      <c r="C194" s="40" t="s">
        <v>23</v>
      </c>
      <c r="D194" s="40" t="s">
        <v>821</v>
      </c>
      <c r="E194" s="17">
        <v>726</v>
      </c>
      <c r="F194" s="16">
        <f t="shared" si="0"/>
        <v>252648</v>
      </c>
      <c r="G194" s="17">
        <v>363</v>
      </c>
      <c r="H194" s="16">
        <f t="shared" si="1"/>
        <v>107375.40000000001</v>
      </c>
      <c r="I194" s="16">
        <v>363</v>
      </c>
      <c r="J194" s="16">
        <f t="shared" si="6"/>
        <v>1515888</v>
      </c>
      <c r="K194" s="16"/>
      <c r="L194" s="16">
        <f t="shared" si="7"/>
        <v>0</v>
      </c>
      <c r="M194" s="16"/>
      <c r="N194" s="16">
        <f t="shared" si="8"/>
        <v>0</v>
      </c>
      <c r="O194" s="16"/>
      <c r="P194" s="16">
        <f t="shared" si="9"/>
        <v>0</v>
      </c>
      <c r="Q194" s="16">
        <v>726</v>
      </c>
      <c r="R194" s="16">
        <f t="shared" si="29"/>
        <v>20211840</v>
      </c>
      <c r="S194" s="16">
        <v>363</v>
      </c>
      <c r="T194" s="16">
        <f t="shared" si="30"/>
        <v>1242186</v>
      </c>
      <c r="U194" s="16">
        <v>363</v>
      </c>
      <c r="V194" s="16">
        <f t="shared" si="31"/>
        <v>1108638.3</v>
      </c>
      <c r="W194" s="16"/>
      <c r="X194" s="16"/>
      <c r="Y194" s="16">
        <v>363</v>
      </c>
      <c r="Z194" s="16">
        <f t="shared" si="13"/>
        <v>2136981</v>
      </c>
      <c r="AA194" s="16"/>
      <c r="AB194" s="16">
        <f t="shared" si="14"/>
        <v>0</v>
      </c>
      <c r="AC194" s="16">
        <v>363</v>
      </c>
      <c r="AD194" s="16">
        <f t="shared" si="32"/>
        <v>502755</v>
      </c>
      <c r="AE194" s="16">
        <v>363</v>
      </c>
      <c r="AF194" s="16">
        <f t="shared" si="33"/>
        <v>1974865.2</v>
      </c>
      <c r="AG194" s="16">
        <v>363</v>
      </c>
      <c r="AH194" s="16">
        <f t="shared" si="34"/>
        <v>3474512.58</v>
      </c>
      <c r="AI194" s="16">
        <v>726</v>
      </c>
      <c r="AJ194" s="16">
        <f t="shared" si="18"/>
        <v>336864</v>
      </c>
      <c r="AK194" s="16">
        <v>363</v>
      </c>
      <c r="AL194" s="16">
        <f t="shared" si="35"/>
        <v>40002.6</v>
      </c>
      <c r="AM194" s="16"/>
      <c r="AN194" s="16">
        <f t="shared" si="2"/>
        <v>0</v>
      </c>
      <c r="AO194" s="16">
        <v>363</v>
      </c>
      <c r="AP194" s="16">
        <f t="shared" si="36"/>
        <v>332653.2</v>
      </c>
      <c r="AQ194" s="16"/>
      <c r="AR194" s="16">
        <f t="shared" si="21"/>
        <v>0</v>
      </c>
      <c r="AS194" s="16">
        <v>726</v>
      </c>
      <c r="AT194" s="16">
        <f t="shared" si="22"/>
        <v>235078.80000000002</v>
      </c>
      <c r="AU194" s="16">
        <v>726</v>
      </c>
      <c r="AV194" s="16">
        <f t="shared" si="37"/>
        <v>7116252</v>
      </c>
      <c r="AW194" s="16"/>
      <c r="AX194" s="16">
        <f t="shared" si="38"/>
        <v>0</v>
      </c>
      <c r="AY194" s="16">
        <v>363</v>
      </c>
      <c r="AZ194" s="16">
        <f t="shared" si="24"/>
        <v>1172319.3900000001</v>
      </c>
      <c r="BA194" s="16">
        <v>726</v>
      </c>
      <c r="BB194" s="16">
        <f t="shared" si="25"/>
        <v>5184707.22</v>
      </c>
      <c r="BC194" s="11">
        <f t="shared" si="28"/>
        <v>46945566.69</v>
      </c>
      <c r="BD194" s="17"/>
      <c r="BE194" s="17"/>
      <c r="BF194" s="17">
        <v>363</v>
      </c>
      <c r="BG194" s="16">
        <f t="shared" si="5"/>
        <v>8349000</v>
      </c>
      <c r="BH194" s="17"/>
      <c r="BI194" s="17"/>
    </row>
    <row r="195" spans="1:61" ht="12.75">
      <c r="A195" s="38">
        <v>36094</v>
      </c>
      <c r="B195" s="39" t="s">
        <v>13</v>
      </c>
      <c r="C195" s="40" t="s">
        <v>514</v>
      </c>
      <c r="D195" s="40" t="s">
        <v>821</v>
      </c>
      <c r="E195" s="17"/>
      <c r="F195" s="16">
        <f t="shared" si="0"/>
        <v>0</v>
      </c>
      <c r="G195" s="17"/>
      <c r="H195" s="16">
        <f t="shared" si="1"/>
        <v>0</v>
      </c>
      <c r="I195" s="16"/>
      <c r="J195" s="16">
        <f t="shared" si="6"/>
        <v>0</v>
      </c>
      <c r="K195" s="16"/>
      <c r="L195" s="16">
        <f t="shared" si="7"/>
        <v>0</v>
      </c>
      <c r="M195" s="16"/>
      <c r="N195" s="16">
        <f t="shared" si="8"/>
        <v>0</v>
      </c>
      <c r="O195" s="16"/>
      <c r="P195" s="16">
        <f t="shared" si="9"/>
        <v>0</v>
      </c>
      <c r="Q195" s="16">
        <v>28</v>
      </c>
      <c r="R195" s="16">
        <f t="shared" si="29"/>
        <v>779520</v>
      </c>
      <c r="S195" s="16"/>
      <c r="T195" s="16">
        <f t="shared" si="30"/>
        <v>0</v>
      </c>
      <c r="U195" s="16"/>
      <c r="V195" s="16">
        <f t="shared" si="31"/>
        <v>0</v>
      </c>
      <c r="W195" s="16"/>
      <c r="X195" s="16"/>
      <c r="Y195" s="16"/>
      <c r="Z195" s="16">
        <f t="shared" si="13"/>
        <v>0</v>
      </c>
      <c r="AA195" s="16">
        <v>42</v>
      </c>
      <c r="AB195" s="16">
        <f t="shared" si="14"/>
        <v>609000</v>
      </c>
      <c r="AC195" s="16"/>
      <c r="AD195" s="16">
        <f t="shared" si="32"/>
        <v>0</v>
      </c>
      <c r="AE195" s="16"/>
      <c r="AF195" s="16">
        <f t="shared" si="33"/>
        <v>0</v>
      </c>
      <c r="AG195" s="16"/>
      <c r="AH195" s="16">
        <f t="shared" si="34"/>
        <v>0</v>
      </c>
      <c r="AI195" s="16"/>
      <c r="AJ195" s="16">
        <f t="shared" si="18"/>
        <v>0</v>
      </c>
      <c r="AK195" s="16"/>
      <c r="AL195" s="16">
        <f t="shared" si="35"/>
        <v>0</v>
      </c>
      <c r="AM195" s="16"/>
      <c r="AN195" s="16">
        <f t="shared" si="2"/>
        <v>0</v>
      </c>
      <c r="AO195" s="16"/>
      <c r="AP195" s="16">
        <f t="shared" si="36"/>
        <v>0</v>
      </c>
      <c r="AQ195" s="16"/>
      <c r="AR195" s="16">
        <f t="shared" si="21"/>
        <v>0</v>
      </c>
      <c r="AS195" s="16"/>
      <c r="AT195" s="16">
        <f t="shared" si="22"/>
        <v>0</v>
      </c>
      <c r="AU195" s="16">
        <v>42</v>
      </c>
      <c r="AV195" s="16">
        <f t="shared" si="37"/>
        <v>411684</v>
      </c>
      <c r="AW195" s="16">
        <v>42</v>
      </c>
      <c r="AX195" s="16">
        <f t="shared" si="38"/>
        <v>472584</v>
      </c>
      <c r="AY195" s="16"/>
      <c r="AZ195" s="16">
        <f t="shared" si="24"/>
        <v>0</v>
      </c>
      <c r="BA195" s="16">
        <v>42</v>
      </c>
      <c r="BB195" s="16">
        <f t="shared" si="25"/>
        <v>299941.74</v>
      </c>
      <c r="BC195" s="11">
        <f t="shared" si="28"/>
        <v>2572729.74</v>
      </c>
      <c r="BD195" s="17"/>
      <c r="BE195" s="17"/>
      <c r="BF195" s="17"/>
      <c r="BG195" s="16">
        <f t="shared" si="5"/>
        <v>0</v>
      </c>
      <c r="BH195" s="17"/>
      <c r="BI195" s="17"/>
    </row>
    <row r="196" spans="1:61" ht="12.75">
      <c r="A196" s="38">
        <v>36088</v>
      </c>
      <c r="B196" s="39" t="s">
        <v>203</v>
      </c>
      <c r="C196" s="40" t="s">
        <v>794</v>
      </c>
      <c r="D196" s="40" t="s">
        <v>821</v>
      </c>
      <c r="E196" s="17"/>
      <c r="F196" s="16">
        <f t="shared" si="0"/>
        <v>0</v>
      </c>
      <c r="G196" s="17"/>
      <c r="H196" s="16">
        <f t="shared" si="1"/>
        <v>0</v>
      </c>
      <c r="I196" s="16">
        <v>58</v>
      </c>
      <c r="J196" s="16">
        <f t="shared" si="6"/>
        <v>242208</v>
      </c>
      <c r="K196" s="16">
        <v>8</v>
      </c>
      <c r="L196" s="16">
        <f t="shared" si="7"/>
        <v>54156.24</v>
      </c>
      <c r="M196" s="16"/>
      <c r="N196" s="16">
        <f t="shared" si="8"/>
        <v>0</v>
      </c>
      <c r="O196" s="16"/>
      <c r="P196" s="16">
        <f t="shared" si="9"/>
        <v>0</v>
      </c>
      <c r="Q196" s="16">
        <v>174</v>
      </c>
      <c r="R196" s="16">
        <f t="shared" si="29"/>
        <v>4844160</v>
      </c>
      <c r="S196" s="16"/>
      <c r="T196" s="16">
        <f t="shared" si="30"/>
        <v>0</v>
      </c>
      <c r="U196" s="16"/>
      <c r="V196" s="16">
        <f t="shared" si="31"/>
        <v>0</v>
      </c>
      <c r="W196" s="16"/>
      <c r="X196" s="16"/>
      <c r="Y196" s="16">
        <v>58</v>
      </c>
      <c r="Z196" s="16">
        <f t="shared" si="13"/>
        <v>341446</v>
      </c>
      <c r="AA196" s="16"/>
      <c r="AB196" s="16">
        <f t="shared" si="14"/>
        <v>0</v>
      </c>
      <c r="AC196" s="16"/>
      <c r="AD196" s="16">
        <f t="shared" si="32"/>
        <v>0</v>
      </c>
      <c r="AE196" s="16">
        <v>174</v>
      </c>
      <c r="AF196" s="16">
        <f t="shared" si="33"/>
        <v>946629.6</v>
      </c>
      <c r="AG196" s="16">
        <v>58</v>
      </c>
      <c r="AH196" s="16">
        <f t="shared" si="34"/>
        <v>555156.28</v>
      </c>
      <c r="AI196" s="16"/>
      <c r="AJ196" s="16">
        <f t="shared" si="18"/>
        <v>0</v>
      </c>
      <c r="AK196" s="16"/>
      <c r="AL196" s="16">
        <f t="shared" si="35"/>
        <v>0</v>
      </c>
      <c r="AM196" s="16">
        <v>8</v>
      </c>
      <c r="AN196" s="16">
        <f t="shared" si="2"/>
        <v>2040138.48</v>
      </c>
      <c r="AO196" s="16">
        <v>174</v>
      </c>
      <c r="AP196" s="16">
        <f t="shared" si="36"/>
        <v>159453.6</v>
      </c>
      <c r="AQ196" s="16"/>
      <c r="AR196" s="16">
        <f t="shared" si="21"/>
        <v>0</v>
      </c>
      <c r="AS196" s="16">
        <v>174</v>
      </c>
      <c r="AT196" s="16">
        <f t="shared" si="22"/>
        <v>56341.200000000004</v>
      </c>
      <c r="AU196" s="16"/>
      <c r="AV196" s="16">
        <f t="shared" si="37"/>
        <v>0</v>
      </c>
      <c r="AW196" s="16"/>
      <c r="AX196" s="16">
        <f t="shared" si="38"/>
        <v>0</v>
      </c>
      <c r="AY196" s="16"/>
      <c r="AZ196" s="16">
        <f t="shared" si="24"/>
        <v>0</v>
      </c>
      <c r="BA196" s="16">
        <v>174</v>
      </c>
      <c r="BB196" s="16">
        <f t="shared" si="25"/>
        <v>1242615.78</v>
      </c>
      <c r="BC196" s="11">
        <f t="shared" si="28"/>
        <v>10482305.179999998</v>
      </c>
      <c r="BD196" s="17"/>
      <c r="BE196" s="17"/>
      <c r="BF196" s="17">
        <v>58</v>
      </c>
      <c r="BG196" s="16">
        <f t="shared" si="5"/>
        <v>1334000</v>
      </c>
      <c r="BH196" s="17"/>
      <c r="BI196" s="17"/>
    </row>
    <row r="197" spans="1:61" ht="12.75">
      <c r="A197" s="38">
        <v>36088</v>
      </c>
      <c r="B197" s="39" t="s">
        <v>203</v>
      </c>
      <c r="C197" s="40" t="s">
        <v>796</v>
      </c>
      <c r="D197" s="40" t="s">
        <v>821</v>
      </c>
      <c r="E197" s="17"/>
      <c r="F197" s="16">
        <f t="shared" si="0"/>
        <v>0</v>
      </c>
      <c r="G197" s="17"/>
      <c r="H197" s="16">
        <f t="shared" si="1"/>
        <v>0</v>
      </c>
      <c r="I197" s="16">
        <v>61</v>
      </c>
      <c r="J197" s="16">
        <f t="shared" si="6"/>
        <v>254736</v>
      </c>
      <c r="K197" s="16">
        <v>8</v>
      </c>
      <c r="L197" s="16">
        <f t="shared" si="7"/>
        <v>54156.24</v>
      </c>
      <c r="M197" s="16"/>
      <c r="N197" s="16">
        <f t="shared" si="8"/>
        <v>0</v>
      </c>
      <c r="O197" s="16"/>
      <c r="P197" s="16">
        <f t="shared" si="9"/>
        <v>0</v>
      </c>
      <c r="Q197" s="16">
        <v>183</v>
      </c>
      <c r="R197" s="16">
        <f t="shared" si="29"/>
        <v>5094720</v>
      </c>
      <c r="S197" s="16"/>
      <c r="T197" s="16">
        <f t="shared" si="30"/>
        <v>0</v>
      </c>
      <c r="U197" s="16"/>
      <c r="V197" s="16">
        <f t="shared" si="31"/>
        <v>0</v>
      </c>
      <c r="W197" s="16"/>
      <c r="X197" s="16"/>
      <c r="Y197" s="16">
        <v>61</v>
      </c>
      <c r="Z197" s="16">
        <f t="shared" si="13"/>
        <v>359107</v>
      </c>
      <c r="AA197" s="16"/>
      <c r="AB197" s="16">
        <f t="shared" si="14"/>
        <v>0</v>
      </c>
      <c r="AC197" s="16"/>
      <c r="AD197" s="16">
        <f t="shared" si="32"/>
        <v>0</v>
      </c>
      <c r="AE197" s="16">
        <v>183</v>
      </c>
      <c r="AF197" s="16">
        <f t="shared" si="33"/>
        <v>995593.2</v>
      </c>
      <c r="AG197" s="16">
        <v>61</v>
      </c>
      <c r="AH197" s="16">
        <f t="shared" si="34"/>
        <v>583871.26</v>
      </c>
      <c r="AI197" s="16"/>
      <c r="AJ197" s="16">
        <f t="shared" si="18"/>
        <v>0</v>
      </c>
      <c r="AK197" s="16"/>
      <c r="AL197" s="16">
        <f t="shared" si="35"/>
        <v>0</v>
      </c>
      <c r="AM197" s="16">
        <v>8</v>
      </c>
      <c r="AN197" s="16">
        <f t="shared" si="2"/>
        <v>2040138.48</v>
      </c>
      <c r="AO197" s="16">
        <v>183</v>
      </c>
      <c r="AP197" s="16">
        <f t="shared" si="36"/>
        <v>167701.19999999998</v>
      </c>
      <c r="AQ197" s="16"/>
      <c r="AR197" s="16">
        <f t="shared" si="21"/>
        <v>0</v>
      </c>
      <c r="AS197" s="16">
        <v>183</v>
      </c>
      <c r="AT197" s="16">
        <f t="shared" si="22"/>
        <v>59255.4</v>
      </c>
      <c r="AU197" s="16"/>
      <c r="AV197" s="16">
        <f t="shared" si="37"/>
        <v>0</v>
      </c>
      <c r="AW197" s="16"/>
      <c r="AX197" s="16">
        <f t="shared" si="38"/>
        <v>0</v>
      </c>
      <c r="AY197" s="16"/>
      <c r="AZ197" s="16">
        <f t="shared" si="24"/>
        <v>0</v>
      </c>
      <c r="BA197" s="16">
        <v>183</v>
      </c>
      <c r="BB197" s="16">
        <f t="shared" si="25"/>
        <v>1306889.01</v>
      </c>
      <c r="BC197" s="11">
        <f aca="true" t="shared" si="39" ref="BC197:BC284">SUM(F197+H197+J197+L197+N197+P197+R197+T197+V197+X197+Z197+AB197+AD197+AF197+AH197+AJ197+AL197+AN197+AP197+AR197+AT197+AV197+AX197+AZ197+BB197)</f>
        <v>10916167.79</v>
      </c>
      <c r="BD197" s="17"/>
      <c r="BE197" s="17"/>
      <c r="BF197" s="17">
        <v>61</v>
      </c>
      <c r="BG197" s="16">
        <f t="shared" si="5"/>
        <v>1403000</v>
      </c>
      <c r="BH197" s="17"/>
      <c r="BI197" s="17"/>
    </row>
    <row r="198" spans="1:61" ht="12.75">
      <c r="A198" s="38">
        <v>36088</v>
      </c>
      <c r="B198" s="39" t="s">
        <v>203</v>
      </c>
      <c r="C198" s="40" t="s">
        <v>723</v>
      </c>
      <c r="D198" s="40" t="s">
        <v>821</v>
      </c>
      <c r="E198" s="17">
        <v>300</v>
      </c>
      <c r="F198" s="16">
        <f t="shared" si="0"/>
        <v>104400</v>
      </c>
      <c r="G198" s="17">
        <v>200</v>
      </c>
      <c r="H198" s="16">
        <f t="shared" si="1"/>
        <v>59160</v>
      </c>
      <c r="I198" s="16">
        <v>300</v>
      </c>
      <c r="J198" s="16">
        <f t="shared" si="6"/>
        <v>1252800</v>
      </c>
      <c r="K198" s="16">
        <v>30</v>
      </c>
      <c r="L198" s="16">
        <f t="shared" si="7"/>
        <v>203085.9</v>
      </c>
      <c r="M198" s="16"/>
      <c r="N198" s="16">
        <f t="shared" si="8"/>
        <v>0</v>
      </c>
      <c r="O198" s="16"/>
      <c r="P198" s="16">
        <f t="shared" si="9"/>
        <v>0</v>
      </c>
      <c r="Q198" s="16">
        <v>1000</v>
      </c>
      <c r="R198" s="16">
        <f t="shared" si="29"/>
        <v>27840000</v>
      </c>
      <c r="S198" s="16">
        <v>300</v>
      </c>
      <c r="T198" s="16">
        <f t="shared" si="30"/>
        <v>1026600</v>
      </c>
      <c r="U198" s="16">
        <v>300</v>
      </c>
      <c r="V198" s="16">
        <f t="shared" si="31"/>
        <v>916230</v>
      </c>
      <c r="W198" s="16"/>
      <c r="X198" s="16"/>
      <c r="Y198" s="16">
        <v>300</v>
      </c>
      <c r="Z198" s="16">
        <f t="shared" si="13"/>
        <v>1766100</v>
      </c>
      <c r="AA198" s="16"/>
      <c r="AB198" s="16">
        <f t="shared" si="14"/>
        <v>0</v>
      </c>
      <c r="AC198" s="16">
        <v>300</v>
      </c>
      <c r="AD198" s="16">
        <f t="shared" si="32"/>
        <v>415500</v>
      </c>
      <c r="AE198" s="16">
        <v>300</v>
      </c>
      <c r="AF198" s="16">
        <f t="shared" si="33"/>
        <v>1632120</v>
      </c>
      <c r="AG198" s="16">
        <v>300</v>
      </c>
      <c r="AH198" s="16">
        <f t="shared" si="34"/>
        <v>2871498</v>
      </c>
      <c r="AI198" s="16">
        <v>600</v>
      </c>
      <c r="AJ198" s="16">
        <f t="shared" si="18"/>
        <v>278400</v>
      </c>
      <c r="AK198" s="16">
        <v>300</v>
      </c>
      <c r="AL198" s="16">
        <f t="shared" si="35"/>
        <v>33060</v>
      </c>
      <c r="AM198" s="16">
        <v>30</v>
      </c>
      <c r="AN198" s="16">
        <f t="shared" si="2"/>
        <v>7650519.3</v>
      </c>
      <c r="AO198" s="16">
        <v>300</v>
      </c>
      <c r="AP198" s="16">
        <f t="shared" si="36"/>
        <v>274920</v>
      </c>
      <c r="AQ198" s="16"/>
      <c r="AR198" s="16">
        <f t="shared" si="21"/>
        <v>0</v>
      </c>
      <c r="AS198" s="16">
        <v>300</v>
      </c>
      <c r="AT198" s="16">
        <f t="shared" si="22"/>
        <v>97140</v>
      </c>
      <c r="AU198" s="16">
        <v>500</v>
      </c>
      <c r="AV198" s="16">
        <f t="shared" si="37"/>
        <v>4901000</v>
      </c>
      <c r="AW198" s="16"/>
      <c r="AX198" s="16">
        <f t="shared" si="38"/>
        <v>0</v>
      </c>
      <c r="AY198" s="16">
        <v>300</v>
      </c>
      <c r="AZ198" s="16">
        <f t="shared" si="24"/>
        <v>968859.0000000001</v>
      </c>
      <c r="BA198" s="16">
        <v>500</v>
      </c>
      <c r="BB198" s="16">
        <f t="shared" si="25"/>
        <v>3570735</v>
      </c>
      <c r="BC198" s="11">
        <f t="shared" si="39"/>
        <v>55862127.199999996</v>
      </c>
      <c r="BD198" s="17"/>
      <c r="BE198" s="17"/>
      <c r="BF198" s="17">
        <v>689</v>
      </c>
      <c r="BG198" s="16">
        <f t="shared" si="5"/>
        <v>15847000</v>
      </c>
      <c r="BH198" s="17"/>
      <c r="BI198" s="17"/>
    </row>
    <row r="199" spans="1:61" ht="12.75">
      <c r="A199" s="38">
        <v>36103</v>
      </c>
      <c r="B199" s="39" t="s">
        <v>59</v>
      </c>
      <c r="C199" s="40" t="s">
        <v>505</v>
      </c>
      <c r="D199" s="40" t="s">
        <v>821</v>
      </c>
      <c r="E199" s="17"/>
      <c r="F199" s="16">
        <f t="shared" si="0"/>
        <v>0</v>
      </c>
      <c r="G199" s="17"/>
      <c r="H199" s="16">
        <f t="shared" si="1"/>
        <v>0</v>
      </c>
      <c r="I199" s="16"/>
      <c r="J199" s="16">
        <f t="shared" si="6"/>
        <v>0</v>
      </c>
      <c r="K199" s="16"/>
      <c r="L199" s="16">
        <f t="shared" si="7"/>
        <v>0</v>
      </c>
      <c r="M199" s="16"/>
      <c r="N199" s="16">
        <f t="shared" si="8"/>
        <v>0</v>
      </c>
      <c r="O199" s="16"/>
      <c r="P199" s="16">
        <f t="shared" si="9"/>
        <v>0</v>
      </c>
      <c r="Q199" s="16"/>
      <c r="R199" s="16">
        <f t="shared" si="29"/>
        <v>0</v>
      </c>
      <c r="S199" s="16"/>
      <c r="T199" s="16">
        <f t="shared" si="30"/>
        <v>0</v>
      </c>
      <c r="U199" s="16"/>
      <c r="V199" s="16">
        <f t="shared" si="31"/>
        <v>0</v>
      </c>
      <c r="W199" s="16"/>
      <c r="X199" s="16"/>
      <c r="Y199" s="16"/>
      <c r="Z199" s="16">
        <f t="shared" si="13"/>
        <v>0</v>
      </c>
      <c r="AA199" s="16"/>
      <c r="AB199" s="16">
        <f t="shared" si="14"/>
        <v>0</v>
      </c>
      <c r="AC199" s="16"/>
      <c r="AD199" s="16">
        <f t="shared" si="32"/>
        <v>0</v>
      </c>
      <c r="AE199" s="16"/>
      <c r="AF199" s="16">
        <f t="shared" si="33"/>
        <v>0</v>
      </c>
      <c r="AG199" s="16"/>
      <c r="AH199" s="16">
        <f t="shared" si="34"/>
        <v>0</v>
      </c>
      <c r="AI199" s="16"/>
      <c r="AJ199" s="16">
        <f t="shared" si="18"/>
        <v>0</v>
      </c>
      <c r="AK199" s="16"/>
      <c r="AL199" s="16">
        <f t="shared" si="35"/>
        <v>0</v>
      </c>
      <c r="AM199" s="16"/>
      <c r="AN199" s="16">
        <f t="shared" si="2"/>
        <v>0</v>
      </c>
      <c r="AO199" s="16"/>
      <c r="AP199" s="16">
        <f t="shared" si="36"/>
        <v>0</v>
      </c>
      <c r="AQ199" s="16"/>
      <c r="AR199" s="16">
        <f t="shared" si="21"/>
        <v>0</v>
      </c>
      <c r="AS199" s="16"/>
      <c r="AT199" s="16">
        <f t="shared" si="22"/>
        <v>0</v>
      </c>
      <c r="AU199" s="16"/>
      <c r="AV199" s="16">
        <f t="shared" si="37"/>
        <v>0</v>
      </c>
      <c r="AW199" s="16"/>
      <c r="AX199" s="16">
        <f t="shared" si="38"/>
        <v>0</v>
      </c>
      <c r="AY199" s="16"/>
      <c r="AZ199" s="16">
        <f t="shared" si="24"/>
        <v>0</v>
      </c>
      <c r="BA199" s="16"/>
      <c r="BB199" s="16">
        <f t="shared" si="25"/>
        <v>0</v>
      </c>
      <c r="BC199" s="11">
        <f t="shared" si="39"/>
        <v>0</v>
      </c>
      <c r="BD199" s="17">
        <v>10000</v>
      </c>
      <c r="BE199" s="17">
        <f>10000*440.8</f>
        <v>4408000</v>
      </c>
      <c r="BF199" s="17"/>
      <c r="BG199" s="16">
        <f t="shared" si="5"/>
        <v>0</v>
      </c>
      <c r="BH199" s="17"/>
      <c r="BI199" s="17"/>
    </row>
    <row r="200" spans="1:61" ht="12.75">
      <c r="A200" s="38">
        <v>36103</v>
      </c>
      <c r="B200" s="39" t="s">
        <v>59</v>
      </c>
      <c r="C200" s="40" t="s">
        <v>356</v>
      </c>
      <c r="D200" s="40" t="s">
        <v>821</v>
      </c>
      <c r="E200" s="17"/>
      <c r="F200" s="16">
        <f t="shared" si="0"/>
        <v>0</v>
      </c>
      <c r="G200" s="17"/>
      <c r="H200" s="16">
        <f t="shared" si="1"/>
        <v>0</v>
      </c>
      <c r="I200" s="16"/>
      <c r="J200" s="16">
        <f t="shared" si="6"/>
        <v>0</v>
      </c>
      <c r="K200" s="16"/>
      <c r="L200" s="16">
        <f t="shared" si="7"/>
        <v>0</v>
      </c>
      <c r="M200" s="16"/>
      <c r="N200" s="16">
        <f t="shared" si="8"/>
        <v>0</v>
      </c>
      <c r="O200" s="16"/>
      <c r="P200" s="16">
        <f t="shared" si="9"/>
        <v>0</v>
      </c>
      <c r="Q200" s="16"/>
      <c r="R200" s="16">
        <f t="shared" si="29"/>
        <v>0</v>
      </c>
      <c r="S200" s="16"/>
      <c r="T200" s="16">
        <f t="shared" si="30"/>
        <v>0</v>
      </c>
      <c r="U200" s="16"/>
      <c r="V200" s="16">
        <f t="shared" si="31"/>
        <v>0</v>
      </c>
      <c r="W200" s="16"/>
      <c r="X200" s="16"/>
      <c r="Y200" s="16"/>
      <c r="Z200" s="16">
        <f t="shared" si="13"/>
        <v>0</v>
      </c>
      <c r="AA200" s="16"/>
      <c r="AB200" s="16">
        <f t="shared" si="14"/>
        <v>0</v>
      </c>
      <c r="AC200" s="16"/>
      <c r="AD200" s="16">
        <f t="shared" si="32"/>
        <v>0</v>
      </c>
      <c r="AE200" s="16"/>
      <c r="AF200" s="16">
        <f t="shared" si="33"/>
        <v>0</v>
      </c>
      <c r="AG200" s="16"/>
      <c r="AH200" s="16">
        <f t="shared" si="34"/>
        <v>0</v>
      </c>
      <c r="AI200" s="16"/>
      <c r="AJ200" s="16">
        <f t="shared" si="18"/>
        <v>0</v>
      </c>
      <c r="AK200" s="16"/>
      <c r="AL200" s="16">
        <f t="shared" si="35"/>
        <v>0</v>
      </c>
      <c r="AM200" s="16"/>
      <c r="AN200" s="16">
        <f t="shared" si="2"/>
        <v>0</v>
      </c>
      <c r="AO200" s="16"/>
      <c r="AP200" s="16">
        <f t="shared" si="36"/>
        <v>0</v>
      </c>
      <c r="AQ200" s="16"/>
      <c r="AR200" s="16">
        <f t="shared" si="21"/>
        <v>0</v>
      </c>
      <c r="AS200" s="16"/>
      <c r="AT200" s="16">
        <f t="shared" si="22"/>
        <v>0</v>
      </c>
      <c r="AU200" s="16"/>
      <c r="AV200" s="16">
        <f t="shared" si="37"/>
        <v>0</v>
      </c>
      <c r="AW200" s="16"/>
      <c r="AX200" s="16">
        <f t="shared" si="38"/>
        <v>0</v>
      </c>
      <c r="AY200" s="16"/>
      <c r="AZ200" s="16">
        <f t="shared" si="24"/>
        <v>0</v>
      </c>
      <c r="BA200" s="16"/>
      <c r="BB200" s="16">
        <f t="shared" si="25"/>
        <v>0</v>
      </c>
      <c r="BC200" s="11">
        <f t="shared" si="39"/>
        <v>0</v>
      </c>
      <c r="BD200" s="17">
        <v>1000</v>
      </c>
      <c r="BE200" s="17">
        <f>1000*440.8</f>
        <v>440800</v>
      </c>
      <c r="BF200" s="17"/>
      <c r="BG200" s="16">
        <f t="shared" si="5"/>
        <v>0</v>
      </c>
      <c r="BH200" s="17"/>
      <c r="BI200" s="17"/>
    </row>
    <row r="201" spans="1:61" ht="12.75">
      <c r="A201" s="38">
        <v>36103</v>
      </c>
      <c r="B201" s="39" t="s">
        <v>59</v>
      </c>
      <c r="C201" s="40" t="s">
        <v>357</v>
      </c>
      <c r="D201" s="40" t="s">
        <v>821</v>
      </c>
      <c r="E201" s="17"/>
      <c r="F201" s="16">
        <f t="shared" si="0"/>
        <v>0</v>
      </c>
      <c r="G201" s="17"/>
      <c r="H201" s="16">
        <f t="shared" si="1"/>
        <v>0</v>
      </c>
      <c r="I201" s="16"/>
      <c r="J201" s="16">
        <f t="shared" si="6"/>
        <v>0</v>
      </c>
      <c r="K201" s="16"/>
      <c r="L201" s="16">
        <f t="shared" si="7"/>
        <v>0</v>
      </c>
      <c r="M201" s="16"/>
      <c r="N201" s="16">
        <f t="shared" si="8"/>
        <v>0</v>
      </c>
      <c r="O201" s="16"/>
      <c r="P201" s="16">
        <f t="shared" si="9"/>
        <v>0</v>
      </c>
      <c r="Q201" s="16"/>
      <c r="R201" s="16">
        <f t="shared" si="29"/>
        <v>0</v>
      </c>
      <c r="S201" s="16"/>
      <c r="T201" s="16">
        <f t="shared" si="30"/>
        <v>0</v>
      </c>
      <c r="U201" s="16"/>
      <c r="V201" s="16">
        <f t="shared" si="31"/>
        <v>0</v>
      </c>
      <c r="W201" s="16"/>
      <c r="X201" s="16"/>
      <c r="Y201" s="16"/>
      <c r="Z201" s="16">
        <f t="shared" si="13"/>
        <v>0</v>
      </c>
      <c r="AA201" s="16"/>
      <c r="AB201" s="16">
        <f t="shared" si="14"/>
        <v>0</v>
      </c>
      <c r="AC201" s="16"/>
      <c r="AD201" s="16">
        <f t="shared" si="32"/>
        <v>0</v>
      </c>
      <c r="AE201" s="16"/>
      <c r="AF201" s="16">
        <f t="shared" si="33"/>
        <v>0</v>
      </c>
      <c r="AG201" s="16"/>
      <c r="AH201" s="16">
        <f t="shared" si="34"/>
        <v>0</v>
      </c>
      <c r="AI201" s="16"/>
      <c r="AJ201" s="16">
        <f t="shared" si="18"/>
        <v>0</v>
      </c>
      <c r="AK201" s="16"/>
      <c r="AL201" s="16">
        <f t="shared" si="35"/>
        <v>0</v>
      </c>
      <c r="AM201" s="16"/>
      <c r="AN201" s="16">
        <f t="shared" si="2"/>
        <v>0</v>
      </c>
      <c r="AO201" s="16"/>
      <c r="AP201" s="16">
        <f t="shared" si="36"/>
        <v>0</v>
      </c>
      <c r="AQ201" s="16"/>
      <c r="AR201" s="16">
        <f t="shared" si="21"/>
        <v>0</v>
      </c>
      <c r="AS201" s="16"/>
      <c r="AT201" s="16">
        <f t="shared" si="22"/>
        <v>0</v>
      </c>
      <c r="AU201" s="16"/>
      <c r="AV201" s="16">
        <f t="shared" si="37"/>
        <v>0</v>
      </c>
      <c r="AW201" s="16"/>
      <c r="AX201" s="16">
        <f t="shared" si="38"/>
        <v>0</v>
      </c>
      <c r="AY201" s="16"/>
      <c r="AZ201" s="16">
        <f t="shared" si="24"/>
        <v>0</v>
      </c>
      <c r="BA201" s="16"/>
      <c r="BB201" s="16">
        <f t="shared" si="25"/>
        <v>0</v>
      </c>
      <c r="BC201" s="11">
        <f t="shared" si="39"/>
        <v>0</v>
      </c>
      <c r="BD201" s="17">
        <v>10000</v>
      </c>
      <c r="BE201" s="17">
        <f>10000*440.8</f>
        <v>4408000</v>
      </c>
      <c r="BF201" s="17"/>
      <c r="BG201" s="16">
        <f t="shared" si="5"/>
        <v>0</v>
      </c>
      <c r="BH201" s="17"/>
      <c r="BI201" s="17"/>
    </row>
    <row r="202" spans="1:61" ht="12.75">
      <c r="A202" s="38">
        <v>36103</v>
      </c>
      <c r="B202" s="39" t="s">
        <v>59</v>
      </c>
      <c r="C202" s="40" t="s">
        <v>358</v>
      </c>
      <c r="D202" s="40" t="s">
        <v>821</v>
      </c>
      <c r="E202" s="17"/>
      <c r="F202" s="16">
        <f t="shared" si="0"/>
        <v>0</v>
      </c>
      <c r="G202" s="17"/>
      <c r="H202" s="16">
        <f t="shared" si="1"/>
        <v>0</v>
      </c>
      <c r="I202" s="16"/>
      <c r="J202" s="16">
        <f t="shared" si="6"/>
        <v>0</v>
      </c>
      <c r="K202" s="16"/>
      <c r="L202" s="16">
        <f t="shared" si="7"/>
        <v>0</v>
      </c>
      <c r="M202" s="16"/>
      <c r="N202" s="16">
        <f t="shared" si="8"/>
        <v>0</v>
      </c>
      <c r="O202" s="16"/>
      <c r="P202" s="16">
        <f t="shared" si="9"/>
        <v>0</v>
      </c>
      <c r="Q202" s="16"/>
      <c r="R202" s="16">
        <f t="shared" si="29"/>
        <v>0</v>
      </c>
      <c r="S202" s="16"/>
      <c r="T202" s="16">
        <f t="shared" si="30"/>
        <v>0</v>
      </c>
      <c r="U202" s="16"/>
      <c r="V202" s="16">
        <f t="shared" si="31"/>
        <v>0</v>
      </c>
      <c r="W202" s="16"/>
      <c r="X202" s="16"/>
      <c r="Y202" s="16"/>
      <c r="Z202" s="16">
        <f t="shared" si="13"/>
        <v>0</v>
      </c>
      <c r="AA202" s="16"/>
      <c r="AB202" s="16">
        <f t="shared" si="14"/>
        <v>0</v>
      </c>
      <c r="AC202" s="16"/>
      <c r="AD202" s="16">
        <f t="shared" si="32"/>
        <v>0</v>
      </c>
      <c r="AE202" s="16"/>
      <c r="AF202" s="16">
        <f t="shared" si="33"/>
        <v>0</v>
      </c>
      <c r="AG202" s="16"/>
      <c r="AH202" s="16">
        <f t="shared" si="34"/>
        <v>0</v>
      </c>
      <c r="AI202" s="16"/>
      <c r="AJ202" s="16">
        <f t="shared" si="18"/>
        <v>0</v>
      </c>
      <c r="AK202" s="16"/>
      <c r="AL202" s="16">
        <f t="shared" si="35"/>
        <v>0</v>
      </c>
      <c r="AM202" s="16"/>
      <c r="AN202" s="16">
        <f t="shared" si="2"/>
        <v>0</v>
      </c>
      <c r="AO202" s="16"/>
      <c r="AP202" s="16">
        <f t="shared" si="36"/>
        <v>0</v>
      </c>
      <c r="AQ202" s="16"/>
      <c r="AR202" s="16">
        <f t="shared" si="21"/>
        <v>0</v>
      </c>
      <c r="AS202" s="16"/>
      <c r="AT202" s="16">
        <f t="shared" si="22"/>
        <v>0</v>
      </c>
      <c r="AU202" s="16"/>
      <c r="AV202" s="16">
        <f t="shared" si="37"/>
        <v>0</v>
      </c>
      <c r="AW202" s="16"/>
      <c r="AX202" s="16">
        <f t="shared" si="38"/>
        <v>0</v>
      </c>
      <c r="AY202" s="16"/>
      <c r="AZ202" s="16">
        <f t="shared" si="24"/>
        <v>0</v>
      </c>
      <c r="BA202" s="16"/>
      <c r="BB202" s="16">
        <f t="shared" si="25"/>
        <v>0</v>
      </c>
      <c r="BC202" s="11">
        <f t="shared" si="39"/>
        <v>0</v>
      </c>
      <c r="BD202" s="17">
        <v>2000</v>
      </c>
      <c r="BE202" s="17">
        <f>2000*440.8</f>
        <v>881600</v>
      </c>
      <c r="BF202" s="17"/>
      <c r="BG202" s="16">
        <f t="shared" si="5"/>
        <v>0</v>
      </c>
      <c r="BH202" s="17"/>
      <c r="BI202" s="17"/>
    </row>
    <row r="203" spans="1:61" ht="12.75">
      <c r="A203" s="38">
        <v>36103</v>
      </c>
      <c r="B203" s="39" t="s">
        <v>59</v>
      </c>
      <c r="C203" s="40" t="s">
        <v>359</v>
      </c>
      <c r="D203" s="40" t="s">
        <v>821</v>
      </c>
      <c r="E203" s="17"/>
      <c r="F203" s="16">
        <f t="shared" si="0"/>
        <v>0</v>
      </c>
      <c r="G203" s="17"/>
      <c r="H203" s="16">
        <f t="shared" si="1"/>
        <v>0</v>
      </c>
      <c r="I203" s="16"/>
      <c r="J203" s="16">
        <f t="shared" si="6"/>
        <v>0</v>
      </c>
      <c r="K203" s="16"/>
      <c r="L203" s="16">
        <f t="shared" si="7"/>
        <v>0</v>
      </c>
      <c r="M203" s="16"/>
      <c r="N203" s="16">
        <f t="shared" si="8"/>
        <v>0</v>
      </c>
      <c r="O203" s="16"/>
      <c r="P203" s="16">
        <f t="shared" si="9"/>
        <v>0</v>
      </c>
      <c r="Q203" s="16"/>
      <c r="R203" s="16">
        <f t="shared" si="29"/>
        <v>0</v>
      </c>
      <c r="S203" s="16"/>
      <c r="T203" s="16">
        <f t="shared" si="30"/>
        <v>0</v>
      </c>
      <c r="U203" s="16"/>
      <c r="V203" s="16">
        <f t="shared" si="31"/>
        <v>0</v>
      </c>
      <c r="W203" s="16"/>
      <c r="X203" s="16"/>
      <c r="Y203" s="16"/>
      <c r="Z203" s="16">
        <f t="shared" si="13"/>
        <v>0</v>
      </c>
      <c r="AA203" s="16"/>
      <c r="AB203" s="16">
        <f t="shared" si="14"/>
        <v>0</v>
      </c>
      <c r="AC203" s="16"/>
      <c r="AD203" s="16">
        <f t="shared" si="32"/>
        <v>0</v>
      </c>
      <c r="AE203" s="16"/>
      <c r="AF203" s="16">
        <f t="shared" si="33"/>
        <v>0</v>
      </c>
      <c r="AG203" s="16"/>
      <c r="AH203" s="16">
        <f t="shared" si="34"/>
        <v>0</v>
      </c>
      <c r="AI203" s="16"/>
      <c r="AJ203" s="16">
        <f t="shared" si="18"/>
        <v>0</v>
      </c>
      <c r="AK203" s="16"/>
      <c r="AL203" s="16">
        <f t="shared" si="35"/>
        <v>0</v>
      </c>
      <c r="AM203" s="16"/>
      <c r="AN203" s="16">
        <f t="shared" si="2"/>
        <v>0</v>
      </c>
      <c r="AO203" s="16"/>
      <c r="AP203" s="16">
        <f t="shared" si="36"/>
        <v>0</v>
      </c>
      <c r="AQ203" s="16"/>
      <c r="AR203" s="16">
        <f t="shared" si="21"/>
        <v>0</v>
      </c>
      <c r="AS203" s="16"/>
      <c r="AT203" s="16">
        <f t="shared" si="22"/>
        <v>0</v>
      </c>
      <c r="AU203" s="16"/>
      <c r="AV203" s="16">
        <f t="shared" si="37"/>
        <v>0</v>
      </c>
      <c r="AW203" s="16"/>
      <c r="AX203" s="16">
        <f t="shared" si="38"/>
        <v>0</v>
      </c>
      <c r="AY203" s="16"/>
      <c r="AZ203" s="16">
        <f t="shared" si="24"/>
        <v>0</v>
      </c>
      <c r="BA203" s="16"/>
      <c r="BB203" s="16">
        <f t="shared" si="25"/>
        <v>0</v>
      </c>
      <c r="BC203" s="11">
        <f t="shared" si="39"/>
        <v>0</v>
      </c>
      <c r="BD203" s="17">
        <v>3000</v>
      </c>
      <c r="BE203" s="17">
        <f>3000*440.8</f>
        <v>1322400</v>
      </c>
      <c r="BF203" s="17"/>
      <c r="BG203" s="16">
        <f t="shared" si="5"/>
        <v>0</v>
      </c>
      <c r="BH203" s="17"/>
      <c r="BI203" s="17"/>
    </row>
    <row r="204" spans="1:61" ht="12.75">
      <c r="A204" s="38">
        <v>36087</v>
      </c>
      <c r="B204" s="39" t="s">
        <v>92</v>
      </c>
      <c r="C204" s="40" t="s">
        <v>93</v>
      </c>
      <c r="D204" s="40" t="s">
        <v>821</v>
      </c>
      <c r="E204" s="17"/>
      <c r="F204" s="16">
        <f t="shared" si="0"/>
        <v>0</v>
      </c>
      <c r="G204" s="17"/>
      <c r="H204" s="16">
        <f t="shared" si="1"/>
        <v>0</v>
      </c>
      <c r="I204" s="16"/>
      <c r="J204" s="16">
        <f t="shared" si="6"/>
        <v>0</v>
      </c>
      <c r="K204" s="16"/>
      <c r="L204" s="16">
        <f t="shared" si="7"/>
        <v>0</v>
      </c>
      <c r="M204" s="16"/>
      <c r="N204" s="16">
        <f t="shared" si="8"/>
        <v>0</v>
      </c>
      <c r="O204" s="16"/>
      <c r="P204" s="16">
        <f t="shared" si="9"/>
        <v>0</v>
      </c>
      <c r="Q204" s="16"/>
      <c r="R204" s="16">
        <f t="shared" si="29"/>
        <v>0</v>
      </c>
      <c r="S204" s="16"/>
      <c r="T204" s="16">
        <f t="shared" si="30"/>
        <v>0</v>
      </c>
      <c r="U204" s="16"/>
      <c r="V204" s="16">
        <f t="shared" si="31"/>
        <v>0</v>
      </c>
      <c r="W204" s="16"/>
      <c r="X204" s="16"/>
      <c r="Y204" s="16"/>
      <c r="Z204" s="16">
        <f t="shared" si="13"/>
        <v>0</v>
      </c>
      <c r="AA204" s="16"/>
      <c r="AB204" s="16">
        <f t="shared" si="14"/>
        <v>0</v>
      </c>
      <c r="AC204" s="16"/>
      <c r="AD204" s="16">
        <f t="shared" si="32"/>
        <v>0</v>
      </c>
      <c r="AE204" s="16"/>
      <c r="AF204" s="16">
        <f t="shared" si="33"/>
        <v>0</v>
      </c>
      <c r="AG204" s="16"/>
      <c r="AH204" s="16">
        <f t="shared" si="34"/>
        <v>0</v>
      </c>
      <c r="AI204" s="16"/>
      <c r="AJ204" s="16">
        <f t="shared" si="18"/>
        <v>0</v>
      </c>
      <c r="AK204" s="16"/>
      <c r="AL204" s="16">
        <f t="shared" si="35"/>
        <v>0</v>
      </c>
      <c r="AM204" s="16"/>
      <c r="AN204" s="16">
        <f t="shared" si="2"/>
        <v>0</v>
      </c>
      <c r="AO204" s="16"/>
      <c r="AP204" s="16">
        <f t="shared" si="36"/>
        <v>0</v>
      </c>
      <c r="AQ204" s="16"/>
      <c r="AR204" s="16">
        <f t="shared" si="21"/>
        <v>0</v>
      </c>
      <c r="AS204" s="16"/>
      <c r="AT204" s="16">
        <f t="shared" si="22"/>
        <v>0</v>
      </c>
      <c r="AU204" s="16"/>
      <c r="AV204" s="16">
        <f t="shared" si="37"/>
        <v>0</v>
      </c>
      <c r="AW204" s="16"/>
      <c r="AX204" s="16">
        <f t="shared" si="38"/>
        <v>0</v>
      </c>
      <c r="AY204" s="16"/>
      <c r="AZ204" s="16">
        <f t="shared" si="24"/>
        <v>0</v>
      </c>
      <c r="BA204" s="16"/>
      <c r="BB204" s="16">
        <f t="shared" si="25"/>
        <v>0</v>
      </c>
      <c r="BC204" s="11">
        <f t="shared" si="39"/>
        <v>0</v>
      </c>
      <c r="BD204" s="17"/>
      <c r="BE204" s="17"/>
      <c r="BF204" s="17">
        <v>4</v>
      </c>
      <c r="BG204" s="16">
        <f t="shared" si="5"/>
        <v>92000</v>
      </c>
      <c r="BH204" s="17"/>
      <c r="BI204" s="17"/>
    </row>
    <row r="205" spans="1:61" ht="12.75">
      <c r="A205" s="38">
        <v>36103</v>
      </c>
      <c r="B205" s="39" t="s">
        <v>574</v>
      </c>
      <c r="C205" s="40" t="s">
        <v>575</v>
      </c>
      <c r="D205" s="40" t="s">
        <v>887</v>
      </c>
      <c r="E205" s="17"/>
      <c r="F205" s="16">
        <f t="shared" si="0"/>
        <v>0</v>
      </c>
      <c r="G205" s="17"/>
      <c r="H205" s="16">
        <f t="shared" si="1"/>
        <v>0</v>
      </c>
      <c r="I205" s="16"/>
      <c r="J205" s="16">
        <f t="shared" si="6"/>
        <v>0</v>
      </c>
      <c r="K205" s="16"/>
      <c r="L205" s="16">
        <f t="shared" si="7"/>
        <v>0</v>
      </c>
      <c r="M205" s="16"/>
      <c r="N205" s="16">
        <f t="shared" si="8"/>
        <v>0</v>
      </c>
      <c r="O205" s="16"/>
      <c r="P205" s="16">
        <f t="shared" si="9"/>
        <v>0</v>
      </c>
      <c r="Q205" s="16"/>
      <c r="R205" s="16">
        <f t="shared" si="29"/>
        <v>0</v>
      </c>
      <c r="S205" s="16"/>
      <c r="T205" s="16">
        <f t="shared" si="30"/>
        <v>0</v>
      </c>
      <c r="U205" s="16"/>
      <c r="V205" s="16">
        <f t="shared" si="31"/>
        <v>0</v>
      </c>
      <c r="W205" s="16"/>
      <c r="X205" s="16"/>
      <c r="Y205" s="16"/>
      <c r="Z205" s="16">
        <f t="shared" si="13"/>
        <v>0</v>
      </c>
      <c r="AA205" s="16"/>
      <c r="AB205" s="16">
        <f t="shared" si="14"/>
        <v>0</v>
      </c>
      <c r="AC205" s="16"/>
      <c r="AD205" s="16">
        <f t="shared" si="32"/>
        <v>0</v>
      </c>
      <c r="AE205" s="16"/>
      <c r="AF205" s="16">
        <f t="shared" si="33"/>
        <v>0</v>
      </c>
      <c r="AG205" s="16"/>
      <c r="AH205" s="16">
        <f t="shared" si="34"/>
        <v>0</v>
      </c>
      <c r="AI205" s="16"/>
      <c r="AJ205" s="16">
        <f t="shared" si="18"/>
        <v>0</v>
      </c>
      <c r="AK205" s="16"/>
      <c r="AL205" s="16">
        <f t="shared" si="35"/>
        <v>0</v>
      </c>
      <c r="AM205" s="16"/>
      <c r="AN205" s="16">
        <f t="shared" si="2"/>
        <v>0</v>
      </c>
      <c r="AO205" s="16"/>
      <c r="AP205" s="16">
        <f t="shared" si="36"/>
        <v>0</v>
      </c>
      <c r="AQ205" s="16"/>
      <c r="AR205" s="16">
        <f t="shared" si="21"/>
        <v>0</v>
      </c>
      <c r="AS205" s="16"/>
      <c r="AT205" s="16">
        <f t="shared" si="22"/>
        <v>0</v>
      </c>
      <c r="AU205" s="16"/>
      <c r="AV205" s="16">
        <f t="shared" si="37"/>
        <v>0</v>
      </c>
      <c r="AW205" s="16"/>
      <c r="AX205" s="16">
        <f t="shared" si="38"/>
        <v>0</v>
      </c>
      <c r="AY205" s="16"/>
      <c r="AZ205" s="16">
        <f t="shared" si="24"/>
        <v>0</v>
      </c>
      <c r="BA205" s="16"/>
      <c r="BB205" s="16">
        <f t="shared" si="25"/>
        <v>0</v>
      </c>
      <c r="BC205" s="11">
        <f t="shared" si="39"/>
        <v>0</v>
      </c>
      <c r="BD205" s="17"/>
      <c r="BE205" s="17"/>
      <c r="BF205" s="17"/>
      <c r="BG205" s="16">
        <f t="shared" si="5"/>
        <v>0</v>
      </c>
      <c r="BH205" s="17"/>
      <c r="BI205" s="17"/>
    </row>
    <row r="206" spans="1:61" ht="12.75">
      <c r="A206" s="38">
        <v>36105</v>
      </c>
      <c r="B206" s="39" t="s">
        <v>899</v>
      </c>
      <c r="C206" s="40" t="s">
        <v>805</v>
      </c>
      <c r="D206" s="40" t="s">
        <v>821</v>
      </c>
      <c r="E206" s="17"/>
      <c r="F206" s="16">
        <f t="shared" si="0"/>
        <v>0</v>
      </c>
      <c r="G206" s="17"/>
      <c r="H206" s="16">
        <f t="shared" si="1"/>
        <v>0</v>
      </c>
      <c r="I206" s="16"/>
      <c r="J206" s="16">
        <f t="shared" si="6"/>
        <v>0</v>
      </c>
      <c r="K206" s="16"/>
      <c r="L206" s="16">
        <f t="shared" si="7"/>
        <v>0</v>
      </c>
      <c r="M206" s="16"/>
      <c r="N206" s="16">
        <f t="shared" si="8"/>
        <v>0</v>
      </c>
      <c r="O206" s="16"/>
      <c r="P206" s="16">
        <f t="shared" si="9"/>
        <v>0</v>
      </c>
      <c r="Q206" s="16"/>
      <c r="R206" s="16">
        <f t="shared" si="29"/>
        <v>0</v>
      </c>
      <c r="S206" s="16"/>
      <c r="T206" s="16">
        <f t="shared" si="30"/>
        <v>0</v>
      </c>
      <c r="U206" s="16"/>
      <c r="V206" s="16">
        <f t="shared" si="31"/>
        <v>0</v>
      </c>
      <c r="W206" s="16"/>
      <c r="X206" s="16"/>
      <c r="Y206" s="16"/>
      <c r="Z206" s="16">
        <f t="shared" si="13"/>
        <v>0</v>
      </c>
      <c r="AA206" s="16"/>
      <c r="AB206" s="16">
        <f t="shared" si="14"/>
        <v>0</v>
      </c>
      <c r="AC206" s="16"/>
      <c r="AD206" s="16">
        <f t="shared" si="32"/>
        <v>0</v>
      </c>
      <c r="AE206" s="16"/>
      <c r="AF206" s="16">
        <f t="shared" si="33"/>
        <v>0</v>
      </c>
      <c r="AG206" s="16"/>
      <c r="AH206" s="16">
        <f t="shared" si="34"/>
        <v>0</v>
      </c>
      <c r="AI206" s="16"/>
      <c r="AJ206" s="16">
        <f t="shared" si="18"/>
        <v>0</v>
      </c>
      <c r="AK206" s="16"/>
      <c r="AL206" s="16">
        <f t="shared" si="35"/>
        <v>0</v>
      </c>
      <c r="AM206" s="16"/>
      <c r="AN206" s="16">
        <f t="shared" si="2"/>
        <v>0</v>
      </c>
      <c r="AO206" s="16"/>
      <c r="AP206" s="16">
        <f t="shared" si="36"/>
        <v>0</v>
      </c>
      <c r="AQ206" s="16"/>
      <c r="AR206" s="16">
        <f t="shared" si="21"/>
        <v>0</v>
      </c>
      <c r="AS206" s="16"/>
      <c r="AT206" s="16">
        <f t="shared" si="22"/>
        <v>0</v>
      </c>
      <c r="AU206" s="16"/>
      <c r="AV206" s="16">
        <f t="shared" si="37"/>
        <v>0</v>
      </c>
      <c r="AW206" s="16"/>
      <c r="AX206" s="16">
        <f t="shared" si="38"/>
        <v>0</v>
      </c>
      <c r="AY206" s="16"/>
      <c r="AZ206" s="16">
        <f t="shared" si="24"/>
        <v>0</v>
      </c>
      <c r="BA206" s="16"/>
      <c r="BB206" s="16">
        <f t="shared" si="25"/>
        <v>0</v>
      </c>
      <c r="BC206" s="11">
        <f t="shared" si="39"/>
        <v>0</v>
      </c>
      <c r="BD206" s="17">
        <v>4000</v>
      </c>
      <c r="BE206" s="17">
        <f>4000*440.8</f>
        <v>1763200</v>
      </c>
      <c r="BF206" s="17"/>
      <c r="BG206" s="16">
        <f t="shared" si="5"/>
        <v>0</v>
      </c>
      <c r="BH206" s="17"/>
      <c r="BI206" s="17"/>
    </row>
    <row r="207" spans="1:61" ht="22.5">
      <c r="A207" s="38">
        <v>36105</v>
      </c>
      <c r="B207" s="39" t="s">
        <v>899</v>
      </c>
      <c r="C207" s="40" t="s">
        <v>375</v>
      </c>
      <c r="D207" s="40" t="s">
        <v>821</v>
      </c>
      <c r="E207" s="17"/>
      <c r="F207" s="16">
        <f t="shared" si="0"/>
        <v>0</v>
      </c>
      <c r="G207" s="17"/>
      <c r="H207" s="16">
        <f t="shared" si="1"/>
        <v>0</v>
      </c>
      <c r="I207" s="16"/>
      <c r="J207" s="16">
        <f t="shared" si="6"/>
        <v>0</v>
      </c>
      <c r="K207" s="16"/>
      <c r="L207" s="16">
        <f t="shared" si="7"/>
        <v>0</v>
      </c>
      <c r="M207" s="16"/>
      <c r="N207" s="16">
        <f t="shared" si="8"/>
        <v>0</v>
      </c>
      <c r="O207" s="16"/>
      <c r="P207" s="16">
        <f t="shared" si="9"/>
        <v>0</v>
      </c>
      <c r="Q207" s="16"/>
      <c r="R207" s="16">
        <f t="shared" si="29"/>
        <v>0</v>
      </c>
      <c r="S207" s="16"/>
      <c r="T207" s="16">
        <f t="shared" si="30"/>
        <v>0</v>
      </c>
      <c r="U207" s="16"/>
      <c r="V207" s="16">
        <f t="shared" si="31"/>
        <v>0</v>
      </c>
      <c r="W207" s="16"/>
      <c r="X207" s="16"/>
      <c r="Y207" s="16"/>
      <c r="Z207" s="16">
        <f t="shared" si="13"/>
        <v>0</v>
      </c>
      <c r="AA207" s="16"/>
      <c r="AB207" s="16">
        <f t="shared" si="14"/>
        <v>0</v>
      </c>
      <c r="AC207" s="16"/>
      <c r="AD207" s="16">
        <f t="shared" si="32"/>
        <v>0</v>
      </c>
      <c r="AE207" s="16"/>
      <c r="AF207" s="16">
        <f t="shared" si="33"/>
        <v>0</v>
      </c>
      <c r="AG207" s="16"/>
      <c r="AH207" s="16">
        <f t="shared" si="34"/>
        <v>0</v>
      </c>
      <c r="AI207" s="16"/>
      <c r="AJ207" s="16">
        <f t="shared" si="18"/>
        <v>0</v>
      </c>
      <c r="AK207" s="16"/>
      <c r="AL207" s="16">
        <f t="shared" si="35"/>
        <v>0</v>
      </c>
      <c r="AM207" s="16"/>
      <c r="AN207" s="16">
        <f t="shared" si="2"/>
        <v>0</v>
      </c>
      <c r="AO207" s="16"/>
      <c r="AP207" s="16">
        <f t="shared" si="36"/>
        <v>0</v>
      </c>
      <c r="AQ207" s="16"/>
      <c r="AR207" s="16">
        <f t="shared" si="21"/>
        <v>0</v>
      </c>
      <c r="AS207" s="16"/>
      <c r="AT207" s="16">
        <f t="shared" si="22"/>
        <v>0</v>
      </c>
      <c r="AU207" s="16"/>
      <c r="AV207" s="16">
        <f t="shared" si="37"/>
        <v>0</v>
      </c>
      <c r="AW207" s="16"/>
      <c r="AX207" s="16">
        <f t="shared" si="38"/>
        <v>0</v>
      </c>
      <c r="AY207" s="16"/>
      <c r="AZ207" s="16">
        <f t="shared" si="24"/>
        <v>0</v>
      </c>
      <c r="BA207" s="16"/>
      <c r="BB207" s="16">
        <f t="shared" si="25"/>
        <v>0</v>
      </c>
      <c r="BC207" s="11">
        <f t="shared" si="39"/>
        <v>0</v>
      </c>
      <c r="BD207" s="17">
        <v>5000</v>
      </c>
      <c r="BE207" s="17">
        <f>5000*440.8</f>
        <v>2204000</v>
      </c>
      <c r="BF207" s="17"/>
      <c r="BG207" s="16">
        <f t="shared" si="5"/>
        <v>0</v>
      </c>
      <c r="BH207" s="17"/>
      <c r="BI207" s="17"/>
    </row>
    <row r="208" spans="1:61" ht="12.75">
      <c r="A208" s="38">
        <v>36105</v>
      </c>
      <c r="B208" s="39" t="s">
        <v>59</v>
      </c>
      <c r="C208" s="40" t="s">
        <v>214</v>
      </c>
      <c r="D208" s="40" t="s">
        <v>821</v>
      </c>
      <c r="E208" s="17"/>
      <c r="F208" s="16">
        <f t="shared" si="0"/>
        <v>0</v>
      </c>
      <c r="G208" s="17"/>
      <c r="H208" s="16">
        <f t="shared" si="1"/>
        <v>0</v>
      </c>
      <c r="I208" s="16"/>
      <c r="J208" s="16">
        <f t="shared" si="6"/>
        <v>0</v>
      </c>
      <c r="K208" s="16"/>
      <c r="L208" s="16">
        <f t="shared" si="7"/>
        <v>0</v>
      </c>
      <c r="M208" s="16"/>
      <c r="N208" s="16">
        <f t="shared" si="8"/>
        <v>0</v>
      </c>
      <c r="O208" s="16"/>
      <c r="P208" s="16">
        <f t="shared" si="9"/>
        <v>0</v>
      </c>
      <c r="Q208" s="16"/>
      <c r="R208" s="16">
        <f t="shared" si="29"/>
        <v>0</v>
      </c>
      <c r="S208" s="16"/>
      <c r="T208" s="16">
        <f t="shared" si="30"/>
        <v>0</v>
      </c>
      <c r="U208" s="16"/>
      <c r="V208" s="16">
        <f t="shared" si="31"/>
        <v>0</v>
      </c>
      <c r="W208" s="16"/>
      <c r="X208" s="16"/>
      <c r="Y208" s="16"/>
      <c r="Z208" s="16">
        <f t="shared" si="13"/>
        <v>0</v>
      </c>
      <c r="AA208" s="16"/>
      <c r="AB208" s="16">
        <f t="shared" si="14"/>
        <v>0</v>
      </c>
      <c r="AC208" s="16"/>
      <c r="AD208" s="16">
        <f t="shared" si="32"/>
        <v>0</v>
      </c>
      <c r="AE208" s="16"/>
      <c r="AF208" s="16">
        <f t="shared" si="33"/>
        <v>0</v>
      </c>
      <c r="AG208" s="16"/>
      <c r="AH208" s="16">
        <f t="shared" si="34"/>
        <v>0</v>
      </c>
      <c r="AI208" s="16"/>
      <c r="AJ208" s="16">
        <f t="shared" si="18"/>
        <v>0</v>
      </c>
      <c r="AK208" s="16"/>
      <c r="AL208" s="16">
        <f t="shared" si="35"/>
        <v>0</v>
      </c>
      <c r="AM208" s="16"/>
      <c r="AN208" s="16">
        <f t="shared" si="2"/>
        <v>0</v>
      </c>
      <c r="AO208" s="16"/>
      <c r="AP208" s="16">
        <f t="shared" si="36"/>
        <v>0</v>
      </c>
      <c r="AQ208" s="16"/>
      <c r="AR208" s="16">
        <f t="shared" si="21"/>
        <v>0</v>
      </c>
      <c r="AS208" s="16"/>
      <c r="AT208" s="16">
        <f t="shared" si="22"/>
        <v>0</v>
      </c>
      <c r="AU208" s="16"/>
      <c r="AV208" s="16">
        <f t="shared" si="37"/>
        <v>0</v>
      </c>
      <c r="AW208" s="16"/>
      <c r="AX208" s="16">
        <f t="shared" si="38"/>
        <v>0</v>
      </c>
      <c r="AY208" s="16"/>
      <c r="AZ208" s="16">
        <f t="shared" si="24"/>
        <v>0</v>
      </c>
      <c r="BA208" s="16"/>
      <c r="BB208" s="16">
        <f t="shared" si="25"/>
        <v>0</v>
      </c>
      <c r="BC208" s="11">
        <f t="shared" si="39"/>
        <v>0</v>
      </c>
      <c r="BD208" s="17">
        <v>3000</v>
      </c>
      <c r="BE208" s="17">
        <f>3000*440.8</f>
        <v>1322400</v>
      </c>
      <c r="BF208" s="17"/>
      <c r="BG208" s="16">
        <f t="shared" si="5"/>
        <v>0</v>
      </c>
      <c r="BH208" s="17"/>
      <c r="BI208" s="17"/>
    </row>
    <row r="209" spans="1:61" ht="12.75">
      <c r="A209" s="38">
        <v>36105</v>
      </c>
      <c r="B209" s="39" t="s">
        <v>59</v>
      </c>
      <c r="C209" s="40" t="s">
        <v>211</v>
      </c>
      <c r="D209" s="40" t="s">
        <v>821</v>
      </c>
      <c r="E209" s="17"/>
      <c r="F209" s="16">
        <f t="shared" si="0"/>
        <v>0</v>
      </c>
      <c r="G209" s="17"/>
      <c r="H209" s="16">
        <f t="shared" si="1"/>
        <v>0</v>
      </c>
      <c r="I209" s="16"/>
      <c r="J209" s="16">
        <f t="shared" si="6"/>
        <v>0</v>
      </c>
      <c r="K209" s="16"/>
      <c r="L209" s="16">
        <f t="shared" si="7"/>
        <v>0</v>
      </c>
      <c r="M209" s="16"/>
      <c r="N209" s="16">
        <f t="shared" si="8"/>
        <v>0</v>
      </c>
      <c r="O209" s="16"/>
      <c r="P209" s="16">
        <f t="shared" si="9"/>
        <v>0</v>
      </c>
      <c r="Q209" s="16"/>
      <c r="R209" s="16">
        <f t="shared" si="29"/>
        <v>0</v>
      </c>
      <c r="S209" s="16"/>
      <c r="T209" s="16">
        <f t="shared" si="30"/>
        <v>0</v>
      </c>
      <c r="U209" s="16"/>
      <c r="V209" s="16">
        <f t="shared" si="31"/>
        <v>0</v>
      </c>
      <c r="W209" s="16"/>
      <c r="X209" s="16"/>
      <c r="Y209" s="16"/>
      <c r="Z209" s="16">
        <f t="shared" si="13"/>
        <v>0</v>
      </c>
      <c r="AA209" s="16"/>
      <c r="AB209" s="16">
        <f t="shared" si="14"/>
        <v>0</v>
      </c>
      <c r="AC209" s="16"/>
      <c r="AD209" s="16">
        <f t="shared" si="32"/>
        <v>0</v>
      </c>
      <c r="AE209" s="16"/>
      <c r="AF209" s="16">
        <f t="shared" si="33"/>
        <v>0</v>
      </c>
      <c r="AG209" s="16"/>
      <c r="AH209" s="16">
        <f t="shared" si="34"/>
        <v>0</v>
      </c>
      <c r="AI209" s="16"/>
      <c r="AJ209" s="16">
        <f t="shared" si="18"/>
        <v>0</v>
      </c>
      <c r="AK209" s="16"/>
      <c r="AL209" s="16">
        <f t="shared" si="35"/>
        <v>0</v>
      </c>
      <c r="AM209" s="16"/>
      <c r="AN209" s="16">
        <f t="shared" si="2"/>
        <v>0</v>
      </c>
      <c r="AO209" s="16"/>
      <c r="AP209" s="16">
        <f t="shared" si="36"/>
        <v>0</v>
      </c>
      <c r="AQ209" s="16"/>
      <c r="AR209" s="16">
        <f t="shared" si="21"/>
        <v>0</v>
      </c>
      <c r="AS209" s="16"/>
      <c r="AT209" s="16">
        <f t="shared" si="22"/>
        <v>0</v>
      </c>
      <c r="AU209" s="16"/>
      <c r="AV209" s="16">
        <f t="shared" si="37"/>
        <v>0</v>
      </c>
      <c r="AW209" s="16"/>
      <c r="AX209" s="16">
        <f t="shared" si="38"/>
        <v>0</v>
      </c>
      <c r="AY209" s="16"/>
      <c r="AZ209" s="16">
        <f t="shared" si="24"/>
        <v>0</v>
      </c>
      <c r="BA209" s="16"/>
      <c r="BB209" s="16">
        <f t="shared" si="25"/>
        <v>0</v>
      </c>
      <c r="BC209" s="11">
        <f t="shared" si="39"/>
        <v>0</v>
      </c>
      <c r="BD209" s="17">
        <v>5000</v>
      </c>
      <c r="BE209" s="17">
        <f>5000*440.8</f>
        <v>2204000</v>
      </c>
      <c r="BF209" s="17"/>
      <c r="BG209" s="16">
        <f t="shared" si="5"/>
        <v>0</v>
      </c>
      <c r="BH209" s="17"/>
      <c r="BI209" s="17"/>
    </row>
    <row r="210" spans="1:61" ht="22.5">
      <c r="A210" s="38">
        <v>36105</v>
      </c>
      <c r="B210" s="39" t="s">
        <v>899</v>
      </c>
      <c r="C210" s="40" t="s">
        <v>377</v>
      </c>
      <c r="D210" s="40" t="s">
        <v>821</v>
      </c>
      <c r="E210" s="17"/>
      <c r="F210" s="16">
        <f t="shared" si="0"/>
        <v>0</v>
      </c>
      <c r="G210" s="17"/>
      <c r="H210" s="16">
        <f t="shared" si="1"/>
        <v>0</v>
      </c>
      <c r="I210" s="16"/>
      <c r="J210" s="16">
        <f t="shared" si="6"/>
        <v>0</v>
      </c>
      <c r="K210" s="16"/>
      <c r="L210" s="16">
        <f t="shared" si="7"/>
        <v>0</v>
      </c>
      <c r="M210" s="16"/>
      <c r="N210" s="16">
        <f t="shared" si="8"/>
        <v>0</v>
      </c>
      <c r="O210" s="16"/>
      <c r="P210" s="16">
        <f t="shared" si="9"/>
        <v>0</v>
      </c>
      <c r="Q210" s="16"/>
      <c r="R210" s="16">
        <f t="shared" si="29"/>
        <v>0</v>
      </c>
      <c r="S210" s="16"/>
      <c r="T210" s="16">
        <f t="shared" si="30"/>
        <v>0</v>
      </c>
      <c r="U210" s="16"/>
      <c r="V210" s="16">
        <f t="shared" si="31"/>
        <v>0</v>
      </c>
      <c r="W210" s="16"/>
      <c r="X210" s="16"/>
      <c r="Y210" s="16"/>
      <c r="Z210" s="16">
        <f t="shared" si="13"/>
        <v>0</v>
      </c>
      <c r="AA210" s="16"/>
      <c r="AB210" s="16">
        <f t="shared" si="14"/>
        <v>0</v>
      </c>
      <c r="AC210" s="16"/>
      <c r="AD210" s="16">
        <f t="shared" si="32"/>
        <v>0</v>
      </c>
      <c r="AE210" s="16"/>
      <c r="AF210" s="16">
        <f t="shared" si="33"/>
        <v>0</v>
      </c>
      <c r="AG210" s="16"/>
      <c r="AH210" s="16">
        <f t="shared" si="34"/>
        <v>0</v>
      </c>
      <c r="AI210" s="16"/>
      <c r="AJ210" s="16">
        <f t="shared" si="18"/>
        <v>0</v>
      </c>
      <c r="AK210" s="16"/>
      <c r="AL210" s="16">
        <f t="shared" si="35"/>
        <v>0</v>
      </c>
      <c r="AM210" s="16"/>
      <c r="AN210" s="16">
        <f t="shared" si="2"/>
        <v>0</v>
      </c>
      <c r="AO210" s="16"/>
      <c r="AP210" s="16">
        <f t="shared" si="36"/>
        <v>0</v>
      </c>
      <c r="AQ210" s="16"/>
      <c r="AR210" s="16">
        <f t="shared" si="21"/>
        <v>0</v>
      </c>
      <c r="AS210" s="16"/>
      <c r="AT210" s="16">
        <f t="shared" si="22"/>
        <v>0</v>
      </c>
      <c r="AU210" s="16"/>
      <c r="AV210" s="16">
        <f t="shared" si="37"/>
        <v>0</v>
      </c>
      <c r="AW210" s="16"/>
      <c r="AX210" s="16">
        <f t="shared" si="38"/>
        <v>0</v>
      </c>
      <c r="AY210" s="16"/>
      <c r="AZ210" s="16">
        <f t="shared" si="24"/>
        <v>0</v>
      </c>
      <c r="BA210" s="16"/>
      <c r="BB210" s="16">
        <f t="shared" si="25"/>
        <v>0</v>
      </c>
      <c r="BC210" s="11">
        <f t="shared" si="39"/>
        <v>0</v>
      </c>
      <c r="BD210" s="17">
        <v>5000</v>
      </c>
      <c r="BE210" s="17">
        <f>5000*440.8</f>
        <v>2204000</v>
      </c>
      <c r="BF210" s="17"/>
      <c r="BG210" s="16">
        <f t="shared" si="5"/>
        <v>0</v>
      </c>
      <c r="BH210" s="17"/>
      <c r="BI210" s="17"/>
    </row>
    <row r="211" spans="1:61" ht="12.75">
      <c r="A211" s="38">
        <v>36103</v>
      </c>
      <c r="B211" s="39" t="s">
        <v>574</v>
      </c>
      <c r="C211" s="40" t="s">
        <v>575</v>
      </c>
      <c r="D211" s="40" t="s">
        <v>887</v>
      </c>
      <c r="E211" s="17"/>
      <c r="F211" s="16">
        <f t="shared" si="0"/>
        <v>0</v>
      </c>
      <c r="G211" s="17"/>
      <c r="H211" s="16">
        <f t="shared" si="1"/>
        <v>0</v>
      </c>
      <c r="I211" s="16"/>
      <c r="J211" s="16">
        <f t="shared" si="6"/>
        <v>0</v>
      </c>
      <c r="K211" s="16"/>
      <c r="L211" s="16">
        <f t="shared" si="7"/>
        <v>0</v>
      </c>
      <c r="M211" s="16"/>
      <c r="N211" s="16">
        <f t="shared" si="8"/>
        <v>0</v>
      </c>
      <c r="O211" s="16"/>
      <c r="P211" s="16">
        <f t="shared" si="9"/>
        <v>0</v>
      </c>
      <c r="Q211" s="16"/>
      <c r="R211" s="16">
        <f t="shared" si="29"/>
        <v>0</v>
      </c>
      <c r="S211" s="16"/>
      <c r="T211" s="16">
        <f t="shared" si="30"/>
        <v>0</v>
      </c>
      <c r="U211" s="16"/>
      <c r="V211" s="16">
        <f t="shared" si="31"/>
        <v>0</v>
      </c>
      <c r="W211" s="16"/>
      <c r="X211" s="16"/>
      <c r="Y211" s="16"/>
      <c r="Z211" s="16">
        <f t="shared" si="13"/>
        <v>0</v>
      </c>
      <c r="AA211" s="16"/>
      <c r="AB211" s="16">
        <f t="shared" si="14"/>
        <v>0</v>
      </c>
      <c r="AC211" s="16"/>
      <c r="AD211" s="16">
        <f t="shared" si="32"/>
        <v>0</v>
      </c>
      <c r="AE211" s="16"/>
      <c r="AF211" s="16">
        <f t="shared" si="33"/>
        <v>0</v>
      </c>
      <c r="AG211" s="16"/>
      <c r="AH211" s="16">
        <f t="shared" si="34"/>
        <v>0</v>
      </c>
      <c r="AI211" s="16"/>
      <c r="AJ211" s="16">
        <f t="shared" si="18"/>
        <v>0</v>
      </c>
      <c r="AK211" s="16"/>
      <c r="AL211" s="16">
        <f t="shared" si="35"/>
        <v>0</v>
      </c>
      <c r="AM211" s="16"/>
      <c r="AN211" s="16">
        <f t="shared" si="2"/>
        <v>0</v>
      </c>
      <c r="AO211" s="16"/>
      <c r="AP211" s="16">
        <f t="shared" si="36"/>
        <v>0</v>
      </c>
      <c r="AQ211" s="16"/>
      <c r="AR211" s="16">
        <f t="shared" si="21"/>
        <v>0</v>
      </c>
      <c r="AS211" s="16"/>
      <c r="AT211" s="16">
        <f t="shared" si="22"/>
        <v>0</v>
      </c>
      <c r="AU211" s="16"/>
      <c r="AV211" s="16">
        <f t="shared" si="37"/>
        <v>0</v>
      </c>
      <c r="AW211" s="16"/>
      <c r="AX211" s="16">
        <f t="shared" si="38"/>
        <v>0</v>
      </c>
      <c r="AY211" s="16"/>
      <c r="AZ211" s="16">
        <f t="shared" si="24"/>
        <v>0</v>
      </c>
      <c r="BA211" s="16"/>
      <c r="BB211" s="16">
        <f t="shared" si="25"/>
        <v>0</v>
      </c>
      <c r="BC211" s="11">
        <f t="shared" si="39"/>
        <v>0</v>
      </c>
      <c r="BD211" s="17"/>
      <c r="BE211" s="17"/>
      <c r="BF211" s="17"/>
      <c r="BG211" s="16">
        <f t="shared" si="5"/>
        <v>0</v>
      </c>
      <c r="BH211" s="17"/>
      <c r="BI211" s="17"/>
    </row>
    <row r="212" spans="1:61" ht="12.75">
      <c r="A212" s="38">
        <v>36094</v>
      </c>
      <c r="B212" s="39" t="s">
        <v>904</v>
      </c>
      <c r="C212" s="40" t="s">
        <v>351</v>
      </c>
      <c r="D212" s="40" t="s">
        <v>821</v>
      </c>
      <c r="E212" s="17"/>
      <c r="F212" s="16">
        <f t="shared" si="0"/>
        <v>0</v>
      </c>
      <c r="G212" s="17"/>
      <c r="H212" s="16">
        <f t="shared" si="1"/>
        <v>0</v>
      </c>
      <c r="I212" s="16"/>
      <c r="J212" s="16">
        <f t="shared" si="6"/>
        <v>0</v>
      </c>
      <c r="K212" s="16"/>
      <c r="L212" s="16">
        <f t="shared" si="7"/>
        <v>0</v>
      </c>
      <c r="M212" s="16"/>
      <c r="N212" s="16">
        <f t="shared" si="8"/>
        <v>0</v>
      </c>
      <c r="O212" s="16"/>
      <c r="P212" s="16">
        <f t="shared" si="9"/>
        <v>0</v>
      </c>
      <c r="Q212" s="16"/>
      <c r="R212" s="16">
        <f t="shared" si="29"/>
        <v>0</v>
      </c>
      <c r="S212" s="16"/>
      <c r="T212" s="16">
        <f t="shared" si="30"/>
        <v>0</v>
      </c>
      <c r="U212" s="16"/>
      <c r="V212" s="16">
        <f t="shared" si="31"/>
        <v>0</v>
      </c>
      <c r="W212" s="16"/>
      <c r="X212" s="16"/>
      <c r="Y212" s="16"/>
      <c r="Z212" s="16">
        <f t="shared" si="13"/>
        <v>0</v>
      </c>
      <c r="AA212" s="16"/>
      <c r="AB212" s="16">
        <f t="shared" si="14"/>
        <v>0</v>
      </c>
      <c r="AC212" s="16"/>
      <c r="AD212" s="16">
        <f t="shared" si="32"/>
        <v>0</v>
      </c>
      <c r="AE212" s="16"/>
      <c r="AF212" s="16">
        <f t="shared" si="33"/>
        <v>0</v>
      </c>
      <c r="AG212" s="16"/>
      <c r="AH212" s="16">
        <f t="shared" si="34"/>
        <v>0</v>
      </c>
      <c r="AI212" s="16"/>
      <c r="AJ212" s="16">
        <f t="shared" si="18"/>
        <v>0</v>
      </c>
      <c r="AK212" s="16"/>
      <c r="AL212" s="16">
        <f t="shared" si="35"/>
        <v>0</v>
      </c>
      <c r="AM212" s="16"/>
      <c r="AN212" s="16">
        <f t="shared" si="2"/>
        <v>0</v>
      </c>
      <c r="AO212" s="16"/>
      <c r="AP212" s="16">
        <f t="shared" si="36"/>
        <v>0</v>
      </c>
      <c r="AQ212" s="16"/>
      <c r="AR212" s="16">
        <f t="shared" si="21"/>
        <v>0</v>
      </c>
      <c r="AS212" s="16"/>
      <c r="AT212" s="16">
        <f t="shared" si="22"/>
        <v>0</v>
      </c>
      <c r="AU212" s="16"/>
      <c r="AV212" s="16">
        <f t="shared" si="37"/>
        <v>0</v>
      </c>
      <c r="AW212" s="16"/>
      <c r="AX212" s="16">
        <f t="shared" si="38"/>
        <v>0</v>
      </c>
      <c r="AY212" s="16"/>
      <c r="AZ212" s="16">
        <f t="shared" si="24"/>
        <v>0</v>
      </c>
      <c r="BA212" s="16"/>
      <c r="BB212" s="16">
        <f t="shared" si="25"/>
        <v>0</v>
      </c>
      <c r="BC212" s="11">
        <f t="shared" si="39"/>
        <v>0</v>
      </c>
      <c r="BD212" s="17"/>
      <c r="BE212" s="17"/>
      <c r="BF212" s="17">
        <v>88</v>
      </c>
      <c r="BG212" s="16">
        <f t="shared" si="5"/>
        <v>2024000</v>
      </c>
      <c r="BH212" s="17"/>
      <c r="BI212" s="17"/>
    </row>
    <row r="213" spans="1:61" ht="12.75">
      <c r="A213" s="38">
        <v>36094</v>
      </c>
      <c r="B213" s="39" t="s">
        <v>904</v>
      </c>
      <c r="C213" s="40" t="s">
        <v>646</v>
      </c>
      <c r="D213" s="40" t="s">
        <v>821</v>
      </c>
      <c r="E213" s="17"/>
      <c r="F213" s="16">
        <f t="shared" si="0"/>
        <v>0</v>
      </c>
      <c r="G213" s="17"/>
      <c r="H213" s="16">
        <f t="shared" si="1"/>
        <v>0</v>
      </c>
      <c r="I213" s="16"/>
      <c r="J213" s="16">
        <f t="shared" si="6"/>
        <v>0</v>
      </c>
      <c r="K213" s="16"/>
      <c r="L213" s="16">
        <f t="shared" si="7"/>
        <v>0</v>
      </c>
      <c r="M213" s="16"/>
      <c r="N213" s="16">
        <f t="shared" si="8"/>
        <v>0</v>
      </c>
      <c r="O213" s="16"/>
      <c r="P213" s="16">
        <f t="shared" si="9"/>
        <v>0</v>
      </c>
      <c r="Q213" s="16"/>
      <c r="R213" s="16">
        <f t="shared" si="29"/>
        <v>0</v>
      </c>
      <c r="S213" s="16"/>
      <c r="T213" s="16">
        <f t="shared" si="30"/>
        <v>0</v>
      </c>
      <c r="U213" s="16"/>
      <c r="V213" s="16">
        <f t="shared" si="31"/>
        <v>0</v>
      </c>
      <c r="W213" s="16"/>
      <c r="X213" s="16"/>
      <c r="Y213" s="16"/>
      <c r="Z213" s="16">
        <f t="shared" si="13"/>
        <v>0</v>
      </c>
      <c r="AA213" s="16"/>
      <c r="AB213" s="16">
        <f t="shared" si="14"/>
        <v>0</v>
      </c>
      <c r="AC213" s="16"/>
      <c r="AD213" s="16">
        <f t="shared" si="32"/>
        <v>0</v>
      </c>
      <c r="AE213" s="16"/>
      <c r="AF213" s="16">
        <f t="shared" si="33"/>
        <v>0</v>
      </c>
      <c r="AG213" s="16"/>
      <c r="AH213" s="16">
        <f t="shared" si="34"/>
        <v>0</v>
      </c>
      <c r="AI213" s="16"/>
      <c r="AJ213" s="16">
        <f t="shared" si="18"/>
        <v>0</v>
      </c>
      <c r="AK213" s="16"/>
      <c r="AL213" s="16">
        <f t="shared" si="35"/>
        <v>0</v>
      </c>
      <c r="AM213" s="16"/>
      <c r="AN213" s="16">
        <f t="shared" si="2"/>
        <v>0</v>
      </c>
      <c r="AO213" s="16"/>
      <c r="AP213" s="16">
        <f t="shared" si="36"/>
        <v>0</v>
      </c>
      <c r="AQ213" s="16"/>
      <c r="AR213" s="16">
        <f t="shared" si="21"/>
        <v>0</v>
      </c>
      <c r="AS213" s="16"/>
      <c r="AT213" s="16">
        <f t="shared" si="22"/>
        <v>0</v>
      </c>
      <c r="AU213" s="16"/>
      <c r="AV213" s="16">
        <f t="shared" si="37"/>
        <v>0</v>
      </c>
      <c r="AW213" s="16"/>
      <c r="AX213" s="16">
        <f t="shared" si="38"/>
        <v>0</v>
      </c>
      <c r="AY213" s="16"/>
      <c r="AZ213" s="16">
        <f t="shared" si="24"/>
        <v>0</v>
      </c>
      <c r="BA213" s="16"/>
      <c r="BB213" s="16">
        <f t="shared" si="25"/>
        <v>0</v>
      </c>
      <c r="BC213" s="11">
        <f t="shared" si="39"/>
        <v>0</v>
      </c>
      <c r="BD213" s="17"/>
      <c r="BE213" s="17"/>
      <c r="BF213" s="17">
        <v>108</v>
      </c>
      <c r="BG213" s="16">
        <f t="shared" si="5"/>
        <v>2484000</v>
      </c>
      <c r="BH213" s="17"/>
      <c r="BI213" s="17"/>
    </row>
    <row r="214" spans="1:61" ht="12.75">
      <c r="A214" s="38">
        <v>36094</v>
      </c>
      <c r="B214" s="39" t="s">
        <v>904</v>
      </c>
      <c r="C214" s="40" t="s">
        <v>689</v>
      </c>
      <c r="D214" s="40" t="s">
        <v>821</v>
      </c>
      <c r="E214" s="17"/>
      <c r="F214" s="16">
        <f t="shared" si="0"/>
        <v>0</v>
      </c>
      <c r="G214" s="17"/>
      <c r="H214" s="16">
        <f t="shared" si="1"/>
        <v>0</v>
      </c>
      <c r="I214" s="16"/>
      <c r="J214" s="16">
        <f t="shared" si="6"/>
        <v>0</v>
      </c>
      <c r="K214" s="16"/>
      <c r="L214" s="16">
        <f t="shared" si="7"/>
        <v>0</v>
      </c>
      <c r="M214" s="16"/>
      <c r="N214" s="16">
        <f t="shared" si="8"/>
        <v>0</v>
      </c>
      <c r="O214" s="16"/>
      <c r="P214" s="16">
        <f t="shared" si="9"/>
        <v>0</v>
      </c>
      <c r="Q214" s="16"/>
      <c r="R214" s="16">
        <f t="shared" si="29"/>
        <v>0</v>
      </c>
      <c r="S214" s="16"/>
      <c r="T214" s="16">
        <f t="shared" si="30"/>
        <v>0</v>
      </c>
      <c r="U214" s="16"/>
      <c r="V214" s="16">
        <f t="shared" si="31"/>
        <v>0</v>
      </c>
      <c r="W214" s="16"/>
      <c r="X214" s="16"/>
      <c r="Y214" s="16"/>
      <c r="Z214" s="16">
        <f t="shared" si="13"/>
        <v>0</v>
      </c>
      <c r="AA214" s="16"/>
      <c r="AB214" s="16">
        <f t="shared" si="14"/>
        <v>0</v>
      </c>
      <c r="AC214" s="16"/>
      <c r="AD214" s="16">
        <f t="shared" si="32"/>
        <v>0</v>
      </c>
      <c r="AE214" s="16"/>
      <c r="AF214" s="16">
        <f t="shared" si="33"/>
        <v>0</v>
      </c>
      <c r="AG214" s="16"/>
      <c r="AH214" s="16">
        <f t="shared" si="34"/>
        <v>0</v>
      </c>
      <c r="AI214" s="16"/>
      <c r="AJ214" s="16">
        <f t="shared" si="18"/>
        <v>0</v>
      </c>
      <c r="AK214" s="16"/>
      <c r="AL214" s="16">
        <f t="shared" si="35"/>
        <v>0</v>
      </c>
      <c r="AM214" s="16"/>
      <c r="AN214" s="16">
        <f t="shared" si="2"/>
        <v>0</v>
      </c>
      <c r="AO214" s="16"/>
      <c r="AP214" s="16">
        <f t="shared" si="36"/>
        <v>0</v>
      </c>
      <c r="AQ214" s="16"/>
      <c r="AR214" s="16">
        <f t="shared" si="21"/>
        <v>0</v>
      </c>
      <c r="AS214" s="16"/>
      <c r="AT214" s="16">
        <f t="shared" si="22"/>
        <v>0</v>
      </c>
      <c r="AU214" s="16"/>
      <c r="AV214" s="16">
        <f t="shared" si="37"/>
        <v>0</v>
      </c>
      <c r="AW214" s="16"/>
      <c r="AX214" s="16">
        <f t="shared" si="38"/>
        <v>0</v>
      </c>
      <c r="AY214" s="16"/>
      <c r="AZ214" s="16">
        <f t="shared" si="24"/>
        <v>0</v>
      </c>
      <c r="BA214" s="16"/>
      <c r="BB214" s="16">
        <f t="shared" si="25"/>
        <v>0</v>
      </c>
      <c r="BC214" s="11">
        <f t="shared" si="39"/>
        <v>0</v>
      </c>
      <c r="BD214" s="17"/>
      <c r="BE214" s="17"/>
      <c r="BF214" s="17">
        <v>190</v>
      </c>
      <c r="BG214" s="16">
        <f t="shared" si="5"/>
        <v>4370000</v>
      </c>
      <c r="BH214" s="17"/>
      <c r="BI214" s="17"/>
    </row>
    <row r="215" spans="1:61" ht="12.75">
      <c r="A215" s="38">
        <v>36094</v>
      </c>
      <c r="B215" s="39" t="s">
        <v>904</v>
      </c>
      <c r="C215" s="40" t="s">
        <v>352</v>
      </c>
      <c r="D215" s="40" t="s">
        <v>821</v>
      </c>
      <c r="E215" s="17"/>
      <c r="F215" s="16">
        <f t="shared" si="0"/>
        <v>0</v>
      </c>
      <c r="G215" s="17"/>
      <c r="H215" s="16">
        <f t="shared" si="1"/>
        <v>0</v>
      </c>
      <c r="I215" s="16"/>
      <c r="J215" s="16">
        <f t="shared" si="6"/>
        <v>0</v>
      </c>
      <c r="K215" s="16"/>
      <c r="L215" s="16">
        <f t="shared" si="7"/>
        <v>0</v>
      </c>
      <c r="M215" s="16"/>
      <c r="N215" s="16">
        <f t="shared" si="8"/>
        <v>0</v>
      </c>
      <c r="O215" s="16"/>
      <c r="P215" s="16">
        <f t="shared" si="9"/>
        <v>0</v>
      </c>
      <c r="Q215" s="16"/>
      <c r="R215" s="16">
        <f t="shared" si="29"/>
        <v>0</v>
      </c>
      <c r="S215" s="16"/>
      <c r="T215" s="16">
        <f t="shared" si="30"/>
        <v>0</v>
      </c>
      <c r="U215" s="16"/>
      <c r="V215" s="16">
        <f t="shared" si="31"/>
        <v>0</v>
      </c>
      <c r="W215" s="16"/>
      <c r="X215" s="16"/>
      <c r="Y215" s="16"/>
      <c r="Z215" s="16">
        <f t="shared" si="13"/>
        <v>0</v>
      </c>
      <c r="AA215" s="16"/>
      <c r="AB215" s="16">
        <f t="shared" si="14"/>
        <v>0</v>
      </c>
      <c r="AC215" s="16"/>
      <c r="AD215" s="16">
        <f t="shared" si="32"/>
        <v>0</v>
      </c>
      <c r="AE215" s="16"/>
      <c r="AF215" s="16">
        <f t="shared" si="33"/>
        <v>0</v>
      </c>
      <c r="AG215" s="16"/>
      <c r="AH215" s="16">
        <f t="shared" si="34"/>
        <v>0</v>
      </c>
      <c r="AI215" s="16"/>
      <c r="AJ215" s="16">
        <f t="shared" si="18"/>
        <v>0</v>
      </c>
      <c r="AK215" s="16"/>
      <c r="AL215" s="16">
        <f t="shared" si="35"/>
        <v>0</v>
      </c>
      <c r="AM215" s="16"/>
      <c r="AN215" s="16">
        <f t="shared" si="2"/>
        <v>0</v>
      </c>
      <c r="AO215" s="16"/>
      <c r="AP215" s="16">
        <f t="shared" si="36"/>
        <v>0</v>
      </c>
      <c r="AQ215" s="16"/>
      <c r="AR215" s="16">
        <f t="shared" si="21"/>
        <v>0</v>
      </c>
      <c r="AS215" s="16"/>
      <c r="AT215" s="16">
        <f t="shared" si="22"/>
        <v>0</v>
      </c>
      <c r="AU215" s="16"/>
      <c r="AV215" s="16">
        <f t="shared" si="37"/>
        <v>0</v>
      </c>
      <c r="AW215" s="16"/>
      <c r="AX215" s="16">
        <f t="shared" si="38"/>
        <v>0</v>
      </c>
      <c r="AY215" s="16"/>
      <c r="AZ215" s="16">
        <f t="shared" si="24"/>
        <v>0</v>
      </c>
      <c r="BA215" s="16"/>
      <c r="BB215" s="16">
        <f t="shared" si="25"/>
        <v>0</v>
      </c>
      <c r="BC215" s="11">
        <f t="shared" si="39"/>
        <v>0</v>
      </c>
      <c r="BD215" s="17"/>
      <c r="BE215" s="17"/>
      <c r="BF215" s="17">
        <v>52</v>
      </c>
      <c r="BG215" s="16">
        <f t="shared" si="5"/>
        <v>1196000</v>
      </c>
      <c r="BH215" s="17"/>
      <c r="BI215" s="17"/>
    </row>
    <row r="216" spans="1:61" ht="22.5">
      <c r="A216" s="38">
        <v>36094</v>
      </c>
      <c r="B216" s="39" t="s">
        <v>904</v>
      </c>
      <c r="C216" s="40" t="s">
        <v>353</v>
      </c>
      <c r="D216" s="40" t="s">
        <v>821</v>
      </c>
      <c r="E216" s="17"/>
      <c r="F216" s="16">
        <f t="shared" si="0"/>
        <v>0</v>
      </c>
      <c r="G216" s="17"/>
      <c r="H216" s="16">
        <f t="shared" si="1"/>
        <v>0</v>
      </c>
      <c r="I216" s="16"/>
      <c r="J216" s="16">
        <f t="shared" si="6"/>
        <v>0</v>
      </c>
      <c r="K216" s="16"/>
      <c r="L216" s="16">
        <f t="shared" si="7"/>
        <v>0</v>
      </c>
      <c r="M216" s="16"/>
      <c r="N216" s="16">
        <f t="shared" si="8"/>
        <v>0</v>
      </c>
      <c r="O216" s="16"/>
      <c r="P216" s="16">
        <f t="shared" si="9"/>
        <v>0</v>
      </c>
      <c r="Q216" s="16"/>
      <c r="R216" s="16">
        <f t="shared" si="29"/>
        <v>0</v>
      </c>
      <c r="S216" s="16"/>
      <c r="T216" s="16">
        <f t="shared" si="30"/>
        <v>0</v>
      </c>
      <c r="U216" s="16"/>
      <c r="V216" s="16">
        <f t="shared" si="31"/>
        <v>0</v>
      </c>
      <c r="W216" s="16"/>
      <c r="X216" s="16"/>
      <c r="Y216" s="16"/>
      <c r="Z216" s="16">
        <f t="shared" si="13"/>
        <v>0</v>
      </c>
      <c r="AA216" s="16"/>
      <c r="AB216" s="16">
        <f t="shared" si="14"/>
        <v>0</v>
      </c>
      <c r="AC216" s="16"/>
      <c r="AD216" s="16">
        <f t="shared" si="32"/>
        <v>0</v>
      </c>
      <c r="AE216" s="16"/>
      <c r="AF216" s="16">
        <f t="shared" si="33"/>
        <v>0</v>
      </c>
      <c r="AG216" s="16"/>
      <c r="AH216" s="16">
        <f t="shared" si="34"/>
        <v>0</v>
      </c>
      <c r="AI216" s="16"/>
      <c r="AJ216" s="16">
        <f t="shared" si="18"/>
        <v>0</v>
      </c>
      <c r="AK216" s="16"/>
      <c r="AL216" s="16">
        <f t="shared" si="35"/>
        <v>0</v>
      </c>
      <c r="AM216" s="16"/>
      <c r="AN216" s="16">
        <f t="shared" si="2"/>
        <v>0</v>
      </c>
      <c r="AO216" s="16"/>
      <c r="AP216" s="16">
        <f t="shared" si="36"/>
        <v>0</v>
      </c>
      <c r="AQ216" s="16"/>
      <c r="AR216" s="16">
        <f t="shared" si="21"/>
        <v>0</v>
      </c>
      <c r="AS216" s="16"/>
      <c r="AT216" s="16">
        <f t="shared" si="22"/>
        <v>0</v>
      </c>
      <c r="AU216" s="16"/>
      <c r="AV216" s="16">
        <f t="shared" si="37"/>
        <v>0</v>
      </c>
      <c r="AW216" s="16"/>
      <c r="AX216" s="16">
        <f t="shared" si="38"/>
        <v>0</v>
      </c>
      <c r="AY216" s="16"/>
      <c r="AZ216" s="16">
        <f t="shared" si="24"/>
        <v>0</v>
      </c>
      <c r="BA216" s="16"/>
      <c r="BB216" s="16">
        <f t="shared" si="25"/>
        <v>0</v>
      </c>
      <c r="BC216" s="11">
        <f t="shared" si="39"/>
        <v>0</v>
      </c>
      <c r="BD216" s="17"/>
      <c r="BE216" s="17"/>
      <c r="BF216" s="17">
        <v>62</v>
      </c>
      <c r="BG216" s="16">
        <f t="shared" si="5"/>
        <v>1426000</v>
      </c>
      <c r="BH216" s="17"/>
      <c r="BI216" s="17"/>
    </row>
    <row r="217" spans="1:61" ht="12.75">
      <c r="A217" s="38">
        <v>36102</v>
      </c>
      <c r="B217" s="39" t="s">
        <v>366</v>
      </c>
      <c r="C217" s="40" t="s">
        <v>367</v>
      </c>
      <c r="D217" s="40" t="s">
        <v>911</v>
      </c>
      <c r="E217" s="17"/>
      <c r="F217" s="16">
        <f t="shared" si="0"/>
        <v>0</v>
      </c>
      <c r="G217" s="17"/>
      <c r="H217" s="16">
        <f t="shared" si="1"/>
        <v>0</v>
      </c>
      <c r="I217" s="16">
        <v>30</v>
      </c>
      <c r="J217" s="16">
        <f t="shared" si="6"/>
        <v>125280</v>
      </c>
      <c r="K217" s="16"/>
      <c r="L217" s="16">
        <f t="shared" si="7"/>
        <v>0</v>
      </c>
      <c r="M217" s="16"/>
      <c r="N217" s="16">
        <f t="shared" si="8"/>
        <v>0</v>
      </c>
      <c r="O217" s="16"/>
      <c r="P217" s="16">
        <f t="shared" si="9"/>
        <v>0</v>
      </c>
      <c r="Q217" s="16">
        <v>90</v>
      </c>
      <c r="R217" s="16">
        <f t="shared" si="29"/>
        <v>2505600</v>
      </c>
      <c r="S217" s="16">
        <v>30</v>
      </c>
      <c r="T217" s="16">
        <f t="shared" si="30"/>
        <v>102660</v>
      </c>
      <c r="U217" s="16">
        <v>30</v>
      </c>
      <c r="V217" s="16">
        <f t="shared" si="31"/>
        <v>91623</v>
      </c>
      <c r="W217" s="16"/>
      <c r="X217" s="16"/>
      <c r="Y217" s="16"/>
      <c r="Z217" s="16">
        <f t="shared" si="13"/>
        <v>0</v>
      </c>
      <c r="AA217" s="16"/>
      <c r="AB217" s="16">
        <f t="shared" si="14"/>
        <v>0</v>
      </c>
      <c r="AC217" s="16">
        <v>30</v>
      </c>
      <c r="AD217" s="16">
        <f t="shared" si="32"/>
        <v>41550</v>
      </c>
      <c r="AE217" s="16">
        <v>90</v>
      </c>
      <c r="AF217" s="16">
        <f t="shared" si="33"/>
        <v>489635.99999999994</v>
      </c>
      <c r="AG217" s="16">
        <v>30</v>
      </c>
      <c r="AH217" s="16">
        <f t="shared" si="34"/>
        <v>287149.8</v>
      </c>
      <c r="AI217" s="16">
        <v>60</v>
      </c>
      <c r="AJ217" s="16">
        <f t="shared" si="18"/>
        <v>27840</v>
      </c>
      <c r="AK217" s="16">
        <v>30</v>
      </c>
      <c r="AL217" s="16">
        <f t="shared" si="35"/>
        <v>3306</v>
      </c>
      <c r="AM217" s="16"/>
      <c r="AN217" s="16">
        <f t="shared" si="2"/>
        <v>0</v>
      </c>
      <c r="AO217" s="16">
        <v>90</v>
      </c>
      <c r="AP217" s="16">
        <f t="shared" si="36"/>
        <v>82476</v>
      </c>
      <c r="AQ217" s="16"/>
      <c r="AR217" s="16">
        <f t="shared" si="21"/>
        <v>0</v>
      </c>
      <c r="AS217" s="16"/>
      <c r="AT217" s="16">
        <f t="shared" si="22"/>
        <v>0</v>
      </c>
      <c r="AU217" s="16">
        <v>90</v>
      </c>
      <c r="AV217" s="16">
        <f t="shared" si="37"/>
        <v>882180</v>
      </c>
      <c r="AW217" s="16">
        <v>90</v>
      </c>
      <c r="AX217" s="16">
        <f t="shared" si="38"/>
        <v>1012680</v>
      </c>
      <c r="AY217" s="16">
        <v>30</v>
      </c>
      <c r="AZ217" s="16">
        <f t="shared" si="24"/>
        <v>96885.90000000001</v>
      </c>
      <c r="BA217" s="16"/>
      <c r="BB217" s="16">
        <f t="shared" si="25"/>
        <v>0</v>
      </c>
      <c r="BC217" s="11">
        <f t="shared" si="39"/>
        <v>5748866.7</v>
      </c>
      <c r="BD217" s="17"/>
      <c r="BE217" s="17"/>
      <c r="BF217" s="17">
        <v>30</v>
      </c>
      <c r="BG217" s="16">
        <f t="shared" si="5"/>
        <v>690000</v>
      </c>
      <c r="BH217" s="17"/>
      <c r="BI217" s="17"/>
    </row>
    <row r="218" spans="1:61" ht="12.75">
      <c r="A218" s="38">
        <v>36104</v>
      </c>
      <c r="B218" s="39" t="s">
        <v>59</v>
      </c>
      <c r="C218" s="40" t="s">
        <v>675</v>
      </c>
      <c r="D218" s="40" t="s">
        <v>821</v>
      </c>
      <c r="E218" s="17"/>
      <c r="F218" s="16">
        <f t="shared" si="0"/>
        <v>0</v>
      </c>
      <c r="G218" s="17"/>
      <c r="H218" s="16">
        <f t="shared" si="1"/>
        <v>0</v>
      </c>
      <c r="I218" s="16"/>
      <c r="J218" s="16">
        <f t="shared" si="6"/>
        <v>0</v>
      </c>
      <c r="K218" s="16"/>
      <c r="L218" s="16">
        <f t="shared" si="7"/>
        <v>0</v>
      </c>
      <c r="M218" s="16"/>
      <c r="N218" s="16">
        <f t="shared" si="8"/>
        <v>0</v>
      </c>
      <c r="O218" s="16"/>
      <c r="P218" s="16">
        <f t="shared" si="9"/>
        <v>0</v>
      </c>
      <c r="Q218" s="16"/>
      <c r="R218" s="16">
        <f t="shared" si="29"/>
        <v>0</v>
      </c>
      <c r="S218" s="16"/>
      <c r="T218" s="16">
        <f t="shared" si="30"/>
        <v>0</v>
      </c>
      <c r="U218" s="16"/>
      <c r="V218" s="16">
        <f t="shared" si="31"/>
        <v>0</v>
      </c>
      <c r="W218" s="16"/>
      <c r="X218" s="16"/>
      <c r="Y218" s="16"/>
      <c r="Z218" s="16">
        <f t="shared" si="13"/>
        <v>0</v>
      </c>
      <c r="AA218" s="16"/>
      <c r="AB218" s="16">
        <f t="shared" si="14"/>
        <v>0</v>
      </c>
      <c r="AC218" s="16"/>
      <c r="AD218" s="16">
        <f t="shared" si="32"/>
        <v>0</v>
      </c>
      <c r="AE218" s="16"/>
      <c r="AF218" s="16">
        <f t="shared" si="33"/>
        <v>0</v>
      </c>
      <c r="AG218" s="16"/>
      <c r="AH218" s="16">
        <f t="shared" si="34"/>
        <v>0</v>
      </c>
      <c r="AI218" s="16"/>
      <c r="AJ218" s="16">
        <f t="shared" si="18"/>
        <v>0</v>
      </c>
      <c r="AK218" s="16"/>
      <c r="AL218" s="16">
        <f t="shared" si="35"/>
        <v>0</v>
      </c>
      <c r="AM218" s="16"/>
      <c r="AN218" s="16">
        <f t="shared" si="2"/>
        <v>0</v>
      </c>
      <c r="AO218" s="16"/>
      <c r="AP218" s="16">
        <f t="shared" si="36"/>
        <v>0</v>
      </c>
      <c r="AQ218" s="16"/>
      <c r="AR218" s="16">
        <f t="shared" si="21"/>
        <v>0</v>
      </c>
      <c r="AS218" s="16"/>
      <c r="AT218" s="16">
        <f t="shared" si="22"/>
        <v>0</v>
      </c>
      <c r="AU218" s="16"/>
      <c r="AV218" s="16">
        <f t="shared" si="37"/>
        <v>0</v>
      </c>
      <c r="AW218" s="16"/>
      <c r="AX218" s="16">
        <f t="shared" si="38"/>
        <v>0</v>
      </c>
      <c r="AY218" s="16"/>
      <c r="AZ218" s="16">
        <f t="shared" si="24"/>
        <v>0</v>
      </c>
      <c r="BA218" s="16"/>
      <c r="BB218" s="16">
        <f t="shared" si="25"/>
        <v>0</v>
      </c>
      <c r="BC218" s="11">
        <f t="shared" si="39"/>
        <v>0</v>
      </c>
      <c r="BD218" s="17">
        <v>5000</v>
      </c>
      <c r="BE218" s="17">
        <f>5000*440.8</f>
        <v>2204000</v>
      </c>
      <c r="BF218" s="17"/>
      <c r="BG218" s="16">
        <f t="shared" si="5"/>
        <v>0</v>
      </c>
      <c r="BH218" s="17"/>
      <c r="BI218" s="17"/>
    </row>
    <row r="219" spans="1:61" ht="12.75">
      <c r="A219" s="38">
        <v>36097</v>
      </c>
      <c r="B219" s="39" t="s">
        <v>129</v>
      </c>
      <c r="C219" s="40" t="s">
        <v>257</v>
      </c>
      <c r="D219" s="40" t="s">
        <v>911</v>
      </c>
      <c r="E219" s="17">
        <v>40</v>
      </c>
      <c r="F219" s="16">
        <f t="shared" si="0"/>
        <v>13920</v>
      </c>
      <c r="G219" s="17">
        <v>40</v>
      </c>
      <c r="H219" s="16">
        <f t="shared" si="1"/>
        <v>11832</v>
      </c>
      <c r="I219" s="16">
        <v>20</v>
      </c>
      <c r="J219" s="16">
        <f t="shared" si="6"/>
        <v>83520</v>
      </c>
      <c r="K219" s="16"/>
      <c r="L219" s="16">
        <f t="shared" si="7"/>
        <v>0</v>
      </c>
      <c r="M219" s="16"/>
      <c r="N219" s="16">
        <f t="shared" si="8"/>
        <v>0</v>
      </c>
      <c r="O219" s="16"/>
      <c r="P219" s="16">
        <f t="shared" si="9"/>
        <v>0</v>
      </c>
      <c r="Q219" s="16">
        <v>60</v>
      </c>
      <c r="R219" s="16">
        <f t="shared" si="29"/>
        <v>1670400</v>
      </c>
      <c r="S219" s="16">
        <v>20</v>
      </c>
      <c r="T219" s="16">
        <f t="shared" si="30"/>
        <v>68440</v>
      </c>
      <c r="U219" s="16">
        <v>20</v>
      </c>
      <c r="V219" s="16">
        <f t="shared" si="31"/>
        <v>61082</v>
      </c>
      <c r="W219" s="16"/>
      <c r="X219" s="16"/>
      <c r="Y219" s="16">
        <v>20</v>
      </c>
      <c r="Z219" s="16">
        <f t="shared" si="13"/>
        <v>117740</v>
      </c>
      <c r="AA219" s="16"/>
      <c r="AB219" s="16">
        <f t="shared" si="14"/>
        <v>0</v>
      </c>
      <c r="AC219" s="16">
        <v>20</v>
      </c>
      <c r="AD219" s="16">
        <f t="shared" si="32"/>
        <v>27700</v>
      </c>
      <c r="AE219" s="16">
        <v>60</v>
      </c>
      <c r="AF219" s="16">
        <f t="shared" si="33"/>
        <v>326424</v>
      </c>
      <c r="AG219" s="16">
        <v>20</v>
      </c>
      <c r="AH219" s="16">
        <f t="shared" si="34"/>
        <v>191433.2</v>
      </c>
      <c r="AI219" s="16">
        <v>40</v>
      </c>
      <c r="AJ219" s="16">
        <f t="shared" si="18"/>
        <v>18560</v>
      </c>
      <c r="AK219" s="16">
        <v>20</v>
      </c>
      <c r="AL219" s="16">
        <f t="shared" si="35"/>
        <v>2204</v>
      </c>
      <c r="AM219" s="16"/>
      <c r="AN219" s="16">
        <f t="shared" si="2"/>
        <v>0</v>
      </c>
      <c r="AO219" s="16">
        <v>60</v>
      </c>
      <c r="AP219" s="16">
        <f t="shared" si="36"/>
        <v>54984</v>
      </c>
      <c r="AQ219" s="16"/>
      <c r="AR219" s="16">
        <f t="shared" si="21"/>
        <v>0</v>
      </c>
      <c r="AS219" s="16">
        <v>60</v>
      </c>
      <c r="AT219" s="16">
        <f t="shared" si="22"/>
        <v>19428</v>
      </c>
      <c r="AU219" s="16">
        <v>60</v>
      </c>
      <c r="AV219" s="16">
        <f t="shared" si="37"/>
        <v>588120</v>
      </c>
      <c r="AW219" s="16">
        <v>60</v>
      </c>
      <c r="AX219" s="16">
        <f t="shared" si="38"/>
        <v>675120</v>
      </c>
      <c r="AY219" s="16">
        <v>20</v>
      </c>
      <c r="AZ219" s="16">
        <f t="shared" si="24"/>
        <v>64590.600000000006</v>
      </c>
      <c r="BA219" s="16"/>
      <c r="BB219" s="16">
        <f t="shared" si="25"/>
        <v>0</v>
      </c>
      <c r="BC219" s="11">
        <f t="shared" si="39"/>
        <v>3995497.8000000003</v>
      </c>
      <c r="BD219" s="17"/>
      <c r="BE219" s="17"/>
      <c r="BF219" s="17">
        <v>20</v>
      </c>
      <c r="BG219" s="16">
        <f t="shared" si="5"/>
        <v>460000</v>
      </c>
      <c r="BH219" s="17"/>
      <c r="BI219" s="17"/>
    </row>
    <row r="220" spans="1:61" ht="12.75">
      <c r="A220" s="38">
        <v>36110</v>
      </c>
      <c r="B220" s="39" t="s">
        <v>882</v>
      </c>
      <c r="C220" s="40" t="s">
        <v>883</v>
      </c>
      <c r="D220" s="40" t="s">
        <v>821</v>
      </c>
      <c r="E220" s="17"/>
      <c r="F220" s="16">
        <f t="shared" si="0"/>
        <v>0</v>
      </c>
      <c r="G220" s="17"/>
      <c r="H220" s="16">
        <f t="shared" si="1"/>
        <v>0</v>
      </c>
      <c r="I220" s="16"/>
      <c r="J220" s="16">
        <f t="shared" si="6"/>
        <v>0</v>
      </c>
      <c r="K220" s="16"/>
      <c r="L220" s="16">
        <f t="shared" si="7"/>
        <v>0</v>
      </c>
      <c r="M220" s="16"/>
      <c r="N220" s="16">
        <f t="shared" si="8"/>
        <v>0</v>
      </c>
      <c r="O220" s="16"/>
      <c r="P220" s="16">
        <f t="shared" si="9"/>
        <v>0</v>
      </c>
      <c r="Q220" s="16"/>
      <c r="R220" s="16">
        <f t="shared" si="29"/>
        <v>0</v>
      </c>
      <c r="S220" s="16"/>
      <c r="T220" s="16">
        <f t="shared" si="30"/>
        <v>0</v>
      </c>
      <c r="U220" s="16"/>
      <c r="V220" s="16">
        <f t="shared" si="31"/>
        <v>0</v>
      </c>
      <c r="W220" s="16"/>
      <c r="X220" s="16"/>
      <c r="Y220" s="16"/>
      <c r="Z220" s="16">
        <f t="shared" si="13"/>
        <v>0</v>
      </c>
      <c r="AA220" s="16"/>
      <c r="AB220" s="16">
        <f t="shared" si="14"/>
        <v>0</v>
      </c>
      <c r="AC220" s="16"/>
      <c r="AD220" s="16">
        <f t="shared" si="32"/>
        <v>0</v>
      </c>
      <c r="AE220" s="16"/>
      <c r="AF220" s="16">
        <f t="shared" si="33"/>
        <v>0</v>
      </c>
      <c r="AG220" s="16"/>
      <c r="AH220" s="16">
        <f t="shared" si="34"/>
        <v>0</v>
      </c>
      <c r="AI220" s="16"/>
      <c r="AJ220" s="16">
        <f t="shared" si="18"/>
        <v>0</v>
      </c>
      <c r="AK220" s="16"/>
      <c r="AL220" s="16">
        <f t="shared" si="35"/>
        <v>0</v>
      </c>
      <c r="AM220" s="16"/>
      <c r="AN220" s="16">
        <f t="shared" si="2"/>
        <v>0</v>
      </c>
      <c r="AO220" s="16"/>
      <c r="AP220" s="16">
        <f t="shared" si="36"/>
        <v>0</v>
      </c>
      <c r="AQ220" s="16"/>
      <c r="AR220" s="16">
        <f t="shared" si="21"/>
        <v>0</v>
      </c>
      <c r="AS220" s="16"/>
      <c r="AT220" s="16">
        <f t="shared" si="22"/>
        <v>0</v>
      </c>
      <c r="AU220" s="16"/>
      <c r="AV220" s="16">
        <f t="shared" si="37"/>
        <v>0</v>
      </c>
      <c r="AW220" s="16"/>
      <c r="AX220" s="16">
        <f t="shared" si="38"/>
        <v>0</v>
      </c>
      <c r="AY220" s="16"/>
      <c r="AZ220" s="16">
        <f t="shared" si="24"/>
        <v>0</v>
      </c>
      <c r="BA220" s="16"/>
      <c r="BB220" s="16">
        <f t="shared" si="25"/>
        <v>0</v>
      </c>
      <c r="BC220" s="11">
        <f t="shared" si="39"/>
        <v>0</v>
      </c>
      <c r="BD220" s="17">
        <v>25000</v>
      </c>
      <c r="BE220" s="17">
        <f>25000*440.8</f>
        <v>11020000</v>
      </c>
      <c r="BF220" s="17"/>
      <c r="BG220" s="16">
        <f t="shared" si="5"/>
        <v>0</v>
      </c>
      <c r="BH220" s="17"/>
      <c r="BI220" s="17"/>
    </row>
    <row r="221" spans="1:61" ht="12.75">
      <c r="A221" s="38">
        <v>36110</v>
      </c>
      <c r="B221" s="39" t="s">
        <v>13</v>
      </c>
      <c r="C221" s="40" t="s">
        <v>135</v>
      </c>
      <c r="D221" s="40" t="s">
        <v>821</v>
      </c>
      <c r="E221" s="17"/>
      <c r="F221" s="16">
        <f t="shared" si="0"/>
        <v>0</v>
      </c>
      <c r="G221" s="17"/>
      <c r="H221" s="16">
        <f t="shared" si="1"/>
        <v>0</v>
      </c>
      <c r="I221" s="16"/>
      <c r="J221" s="16">
        <f t="shared" si="6"/>
        <v>0</v>
      </c>
      <c r="K221" s="16"/>
      <c r="L221" s="16">
        <f t="shared" si="7"/>
        <v>0</v>
      </c>
      <c r="M221" s="16"/>
      <c r="N221" s="16">
        <f t="shared" si="8"/>
        <v>0</v>
      </c>
      <c r="O221" s="16"/>
      <c r="P221" s="16">
        <f t="shared" si="9"/>
        <v>0</v>
      </c>
      <c r="Q221" s="16"/>
      <c r="R221" s="16">
        <f t="shared" si="29"/>
        <v>0</v>
      </c>
      <c r="S221" s="16"/>
      <c r="T221" s="16">
        <f t="shared" si="30"/>
        <v>0</v>
      </c>
      <c r="U221" s="16"/>
      <c r="V221" s="16">
        <f t="shared" si="31"/>
        <v>0</v>
      </c>
      <c r="W221" s="16"/>
      <c r="X221" s="16"/>
      <c r="Y221" s="16"/>
      <c r="Z221" s="16">
        <f t="shared" si="13"/>
        <v>0</v>
      </c>
      <c r="AA221" s="16"/>
      <c r="AB221" s="16">
        <f t="shared" si="14"/>
        <v>0</v>
      </c>
      <c r="AC221" s="16"/>
      <c r="AD221" s="16">
        <f t="shared" si="32"/>
        <v>0</v>
      </c>
      <c r="AE221" s="16"/>
      <c r="AF221" s="16">
        <f t="shared" si="33"/>
        <v>0</v>
      </c>
      <c r="AG221" s="16"/>
      <c r="AH221" s="16">
        <f t="shared" si="34"/>
        <v>0</v>
      </c>
      <c r="AI221" s="16"/>
      <c r="AJ221" s="16">
        <f t="shared" si="18"/>
        <v>0</v>
      </c>
      <c r="AK221" s="16"/>
      <c r="AL221" s="16">
        <f t="shared" si="35"/>
        <v>0</v>
      </c>
      <c r="AM221" s="16"/>
      <c r="AN221" s="16">
        <f t="shared" si="2"/>
        <v>0</v>
      </c>
      <c r="AO221" s="16"/>
      <c r="AP221" s="16">
        <f t="shared" si="36"/>
        <v>0</v>
      </c>
      <c r="AQ221" s="16"/>
      <c r="AR221" s="16">
        <f t="shared" si="21"/>
        <v>0</v>
      </c>
      <c r="AS221" s="16"/>
      <c r="AT221" s="16">
        <f t="shared" si="22"/>
        <v>0</v>
      </c>
      <c r="AU221" s="16"/>
      <c r="AV221" s="16">
        <f t="shared" si="37"/>
        <v>0</v>
      </c>
      <c r="AW221" s="16"/>
      <c r="AX221" s="16">
        <f t="shared" si="38"/>
        <v>0</v>
      </c>
      <c r="AY221" s="16"/>
      <c r="AZ221" s="16">
        <f t="shared" si="24"/>
        <v>0</v>
      </c>
      <c r="BA221" s="16"/>
      <c r="BB221" s="16">
        <f t="shared" si="25"/>
        <v>0</v>
      </c>
      <c r="BC221" s="11">
        <f t="shared" si="39"/>
        <v>0</v>
      </c>
      <c r="BD221" s="17">
        <f>6000+7000</f>
        <v>13000</v>
      </c>
      <c r="BE221" s="17">
        <f>13000*440.8</f>
        <v>5730400</v>
      </c>
      <c r="BF221" s="17">
        <v>328</v>
      </c>
      <c r="BG221" s="16">
        <f t="shared" si="5"/>
        <v>7544000</v>
      </c>
      <c r="BH221" s="17">
        <v>2000</v>
      </c>
      <c r="BI221" s="17">
        <f>2000*5900*1.16</f>
        <v>13687999.999999998</v>
      </c>
    </row>
    <row r="222" spans="1:61" ht="12.75">
      <c r="A222" s="38">
        <v>36098</v>
      </c>
      <c r="B222" s="39" t="s">
        <v>203</v>
      </c>
      <c r="C222" s="40" t="s">
        <v>442</v>
      </c>
      <c r="D222" s="40" t="s">
        <v>821</v>
      </c>
      <c r="E222" s="17"/>
      <c r="F222" s="16">
        <f t="shared" si="0"/>
        <v>0</v>
      </c>
      <c r="G222" s="17"/>
      <c r="H222" s="16">
        <f t="shared" si="1"/>
        <v>0</v>
      </c>
      <c r="I222" s="16">
        <v>53</v>
      </c>
      <c r="J222" s="16">
        <f t="shared" si="6"/>
        <v>221328</v>
      </c>
      <c r="K222" s="16">
        <v>8</v>
      </c>
      <c r="L222" s="16">
        <f t="shared" si="7"/>
        <v>54156.24</v>
      </c>
      <c r="M222" s="16"/>
      <c r="N222" s="16">
        <f t="shared" si="8"/>
        <v>0</v>
      </c>
      <c r="O222" s="16"/>
      <c r="P222" s="16">
        <f t="shared" si="9"/>
        <v>0</v>
      </c>
      <c r="Q222" s="16"/>
      <c r="R222" s="16">
        <f t="shared" si="29"/>
        <v>0</v>
      </c>
      <c r="S222" s="16"/>
      <c r="T222" s="16">
        <f t="shared" si="30"/>
        <v>0</v>
      </c>
      <c r="U222" s="16"/>
      <c r="V222" s="16">
        <f t="shared" si="31"/>
        <v>0</v>
      </c>
      <c r="W222" s="16"/>
      <c r="X222" s="16"/>
      <c r="Y222" s="16">
        <v>53</v>
      </c>
      <c r="Z222" s="16">
        <f t="shared" si="13"/>
        <v>312011</v>
      </c>
      <c r="AA222" s="16"/>
      <c r="AB222" s="16">
        <f t="shared" si="14"/>
        <v>0</v>
      </c>
      <c r="AC222" s="16"/>
      <c r="AD222" s="16">
        <f t="shared" si="32"/>
        <v>0</v>
      </c>
      <c r="AE222" s="16">
        <v>159</v>
      </c>
      <c r="AF222" s="16">
        <f t="shared" si="33"/>
        <v>865023.6</v>
      </c>
      <c r="AG222" s="16">
        <v>53</v>
      </c>
      <c r="AH222" s="16">
        <f t="shared" si="34"/>
        <v>507297.98</v>
      </c>
      <c r="AI222" s="16"/>
      <c r="AJ222" s="16">
        <f t="shared" si="18"/>
        <v>0</v>
      </c>
      <c r="AK222" s="16"/>
      <c r="AL222" s="16">
        <f t="shared" si="35"/>
        <v>0</v>
      </c>
      <c r="AM222" s="16">
        <v>8</v>
      </c>
      <c r="AN222" s="16">
        <f t="shared" si="2"/>
        <v>2040138.48</v>
      </c>
      <c r="AO222" s="16">
        <v>159</v>
      </c>
      <c r="AP222" s="16">
        <f t="shared" si="36"/>
        <v>145707.6</v>
      </c>
      <c r="AQ222" s="16"/>
      <c r="AR222" s="16">
        <f t="shared" si="21"/>
        <v>0</v>
      </c>
      <c r="AS222" s="16">
        <v>159</v>
      </c>
      <c r="AT222" s="16">
        <f t="shared" si="22"/>
        <v>51484.200000000004</v>
      </c>
      <c r="AU222" s="16"/>
      <c r="AV222" s="16">
        <f t="shared" si="37"/>
        <v>0</v>
      </c>
      <c r="AW222" s="16"/>
      <c r="AX222" s="16">
        <f t="shared" si="38"/>
        <v>0</v>
      </c>
      <c r="AY222" s="16"/>
      <c r="AZ222" s="16">
        <f t="shared" si="24"/>
        <v>0</v>
      </c>
      <c r="BA222" s="16"/>
      <c r="BB222" s="16">
        <f t="shared" si="25"/>
        <v>0</v>
      </c>
      <c r="BC222" s="11">
        <f t="shared" si="39"/>
        <v>4197147.1</v>
      </c>
      <c r="BD222" s="17"/>
      <c r="BE222" s="17"/>
      <c r="BF222" s="17">
        <v>53</v>
      </c>
      <c r="BG222" s="16">
        <f t="shared" si="5"/>
        <v>1219000</v>
      </c>
      <c r="BH222" s="17"/>
      <c r="BI222" s="17"/>
    </row>
    <row r="223" spans="1:61" ht="12.75">
      <c r="A223" s="38">
        <v>36098</v>
      </c>
      <c r="B223" s="39" t="s">
        <v>203</v>
      </c>
      <c r="C223" s="40" t="s">
        <v>444</v>
      </c>
      <c r="D223" s="40" t="s">
        <v>821</v>
      </c>
      <c r="E223" s="17"/>
      <c r="F223" s="16">
        <f t="shared" si="0"/>
        <v>0</v>
      </c>
      <c r="G223" s="17"/>
      <c r="H223" s="16">
        <f t="shared" si="1"/>
        <v>0</v>
      </c>
      <c r="I223" s="16">
        <v>87</v>
      </c>
      <c r="J223" s="16">
        <f t="shared" si="6"/>
        <v>363312</v>
      </c>
      <c r="K223" s="16">
        <v>12</v>
      </c>
      <c r="L223" s="16">
        <f t="shared" si="7"/>
        <v>81234.36</v>
      </c>
      <c r="M223" s="16"/>
      <c r="N223" s="16">
        <f t="shared" si="8"/>
        <v>0</v>
      </c>
      <c r="O223" s="16"/>
      <c r="P223" s="16">
        <f t="shared" si="9"/>
        <v>0</v>
      </c>
      <c r="Q223" s="16"/>
      <c r="R223" s="16">
        <f t="shared" si="29"/>
        <v>0</v>
      </c>
      <c r="S223" s="16"/>
      <c r="T223" s="16">
        <f t="shared" si="30"/>
        <v>0</v>
      </c>
      <c r="U223" s="16"/>
      <c r="V223" s="16">
        <f t="shared" si="31"/>
        <v>0</v>
      </c>
      <c r="W223" s="16"/>
      <c r="X223" s="16"/>
      <c r="Y223" s="16">
        <v>87</v>
      </c>
      <c r="Z223" s="16">
        <f t="shared" si="13"/>
        <v>512169</v>
      </c>
      <c r="AA223" s="16"/>
      <c r="AB223" s="16">
        <f t="shared" si="14"/>
        <v>0</v>
      </c>
      <c r="AC223" s="16"/>
      <c r="AD223" s="16">
        <f t="shared" si="32"/>
        <v>0</v>
      </c>
      <c r="AE223" s="16">
        <v>261</v>
      </c>
      <c r="AF223" s="16">
        <f t="shared" si="33"/>
        <v>1419944.4</v>
      </c>
      <c r="AG223" s="16">
        <v>87</v>
      </c>
      <c r="AH223" s="16">
        <f t="shared" si="34"/>
        <v>832734.42</v>
      </c>
      <c r="AI223" s="16"/>
      <c r="AJ223" s="16">
        <f t="shared" si="18"/>
        <v>0</v>
      </c>
      <c r="AK223" s="16"/>
      <c r="AL223" s="16">
        <f t="shared" si="35"/>
        <v>0</v>
      </c>
      <c r="AM223" s="16">
        <v>12</v>
      </c>
      <c r="AN223" s="16">
        <f t="shared" si="2"/>
        <v>3060207.7199999997</v>
      </c>
      <c r="AO223" s="16">
        <v>261</v>
      </c>
      <c r="AP223" s="16">
        <f t="shared" si="36"/>
        <v>239180.4</v>
      </c>
      <c r="AQ223" s="16"/>
      <c r="AR223" s="16">
        <f t="shared" si="21"/>
        <v>0</v>
      </c>
      <c r="AS223" s="16">
        <v>261</v>
      </c>
      <c r="AT223" s="16">
        <f t="shared" si="22"/>
        <v>84511.8</v>
      </c>
      <c r="AU223" s="16"/>
      <c r="AV223" s="16">
        <f t="shared" si="37"/>
        <v>0</v>
      </c>
      <c r="AW223" s="16"/>
      <c r="AX223" s="16">
        <f t="shared" si="38"/>
        <v>0</v>
      </c>
      <c r="AY223" s="16"/>
      <c r="AZ223" s="16">
        <f t="shared" si="24"/>
        <v>0</v>
      </c>
      <c r="BA223" s="16"/>
      <c r="BB223" s="16">
        <f t="shared" si="25"/>
        <v>0</v>
      </c>
      <c r="BC223" s="11">
        <f t="shared" si="39"/>
        <v>6593294.1</v>
      </c>
      <c r="BD223" s="17"/>
      <c r="BE223" s="17"/>
      <c r="BF223" s="17">
        <v>87</v>
      </c>
      <c r="BG223" s="16">
        <f t="shared" si="5"/>
        <v>2001000</v>
      </c>
      <c r="BH223" s="17"/>
      <c r="BI223" s="17"/>
    </row>
    <row r="224" spans="1:61" ht="12.75">
      <c r="A224" s="38">
        <v>36099</v>
      </c>
      <c r="B224" s="39" t="s">
        <v>820</v>
      </c>
      <c r="C224" s="40" t="s">
        <v>179</v>
      </c>
      <c r="D224" s="40" t="s">
        <v>821</v>
      </c>
      <c r="E224" s="17"/>
      <c r="F224" s="16">
        <f t="shared" si="0"/>
        <v>0</v>
      </c>
      <c r="G224" s="17"/>
      <c r="H224" s="16">
        <f t="shared" si="1"/>
        <v>0</v>
      </c>
      <c r="I224" s="16"/>
      <c r="J224" s="16">
        <f t="shared" si="6"/>
        <v>0</v>
      </c>
      <c r="K224" s="16"/>
      <c r="L224" s="16">
        <f t="shared" si="7"/>
        <v>0</v>
      </c>
      <c r="M224" s="16"/>
      <c r="N224" s="16">
        <f t="shared" si="8"/>
        <v>0</v>
      </c>
      <c r="O224" s="16"/>
      <c r="P224" s="16">
        <f t="shared" si="9"/>
        <v>0</v>
      </c>
      <c r="Q224" s="16"/>
      <c r="R224" s="16">
        <f t="shared" si="29"/>
        <v>0</v>
      </c>
      <c r="S224" s="16"/>
      <c r="T224" s="16">
        <f t="shared" si="30"/>
        <v>0</v>
      </c>
      <c r="U224" s="16"/>
      <c r="V224" s="16">
        <f t="shared" si="31"/>
        <v>0</v>
      </c>
      <c r="W224" s="16"/>
      <c r="X224" s="16"/>
      <c r="Y224" s="16"/>
      <c r="Z224" s="16">
        <f t="shared" si="13"/>
        <v>0</v>
      </c>
      <c r="AA224" s="16"/>
      <c r="AB224" s="16">
        <f t="shared" si="14"/>
        <v>0</v>
      </c>
      <c r="AC224" s="16"/>
      <c r="AD224" s="16">
        <f t="shared" si="32"/>
        <v>0</v>
      </c>
      <c r="AE224" s="16"/>
      <c r="AF224" s="16">
        <f t="shared" si="33"/>
        <v>0</v>
      </c>
      <c r="AG224" s="16"/>
      <c r="AH224" s="16">
        <f t="shared" si="34"/>
        <v>0</v>
      </c>
      <c r="AI224" s="16"/>
      <c r="AJ224" s="16">
        <f t="shared" si="18"/>
        <v>0</v>
      </c>
      <c r="AK224" s="16"/>
      <c r="AL224" s="16">
        <f t="shared" si="35"/>
        <v>0</v>
      </c>
      <c r="AM224" s="16"/>
      <c r="AN224" s="16">
        <f t="shared" si="2"/>
        <v>0</v>
      </c>
      <c r="AO224" s="16"/>
      <c r="AP224" s="16">
        <f t="shared" si="36"/>
        <v>0</v>
      </c>
      <c r="AQ224" s="16"/>
      <c r="AR224" s="16">
        <f t="shared" si="21"/>
        <v>0</v>
      </c>
      <c r="AS224" s="16"/>
      <c r="AT224" s="16">
        <f t="shared" si="22"/>
        <v>0</v>
      </c>
      <c r="AU224" s="16"/>
      <c r="AV224" s="16">
        <f t="shared" si="37"/>
        <v>0</v>
      </c>
      <c r="AW224" s="16"/>
      <c r="AX224" s="16">
        <f t="shared" si="38"/>
        <v>0</v>
      </c>
      <c r="AY224" s="16"/>
      <c r="AZ224" s="16">
        <f t="shared" si="24"/>
        <v>0</v>
      </c>
      <c r="BA224" s="16"/>
      <c r="BB224" s="16">
        <f t="shared" si="25"/>
        <v>0</v>
      </c>
      <c r="BC224" s="11">
        <f t="shared" si="39"/>
        <v>0</v>
      </c>
      <c r="BD224" s="17"/>
      <c r="BE224" s="17"/>
      <c r="BF224" s="17">
        <v>28</v>
      </c>
      <c r="BG224" s="16">
        <f t="shared" si="5"/>
        <v>644000</v>
      </c>
      <c r="BH224" s="17"/>
      <c r="BI224" s="17"/>
    </row>
    <row r="225" spans="1:61" ht="22.5">
      <c r="A225" s="38">
        <v>36117</v>
      </c>
      <c r="B225" s="39" t="s">
        <v>882</v>
      </c>
      <c r="C225" s="40" t="s">
        <v>751</v>
      </c>
      <c r="D225" s="40" t="s">
        <v>821</v>
      </c>
      <c r="E225" s="17"/>
      <c r="F225" s="16">
        <f t="shared" si="0"/>
        <v>0</v>
      </c>
      <c r="G225" s="17"/>
      <c r="H225" s="16">
        <f t="shared" si="1"/>
        <v>0</v>
      </c>
      <c r="I225" s="16"/>
      <c r="J225" s="16">
        <f t="shared" si="6"/>
        <v>0</v>
      </c>
      <c r="K225" s="16"/>
      <c r="L225" s="16">
        <f t="shared" si="7"/>
        <v>0</v>
      </c>
      <c r="M225" s="16"/>
      <c r="N225" s="16">
        <f t="shared" si="8"/>
        <v>0</v>
      </c>
      <c r="O225" s="16"/>
      <c r="P225" s="16">
        <f t="shared" si="9"/>
        <v>0</v>
      </c>
      <c r="Q225" s="16"/>
      <c r="R225" s="16">
        <f t="shared" si="29"/>
        <v>0</v>
      </c>
      <c r="S225" s="16"/>
      <c r="T225" s="16">
        <f t="shared" si="30"/>
        <v>0</v>
      </c>
      <c r="U225" s="16"/>
      <c r="V225" s="16">
        <f t="shared" si="31"/>
        <v>0</v>
      </c>
      <c r="W225" s="16"/>
      <c r="X225" s="16"/>
      <c r="Y225" s="16"/>
      <c r="Z225" s="16">
        <f t="shared" si="13"/>
        <v>0</v>
      </c>
      <c r="AA225" s="16"/>
      <c r="AB225" s="16">
        <f t="shared" si="14"/>
        <v>0</v>
      </c>
      <c r="AC225" s="16"/>
      <c r="AD225" s="16">
        <f t="shared" si="32"/>
        <v>0</v>
      </c>
      <c r="AE225" s="16"/>
      <c r="AF225" s="16">
        <f t="shared" si="33"/>
        <v>0</v>
      </c>
      <c r="AG225" s="16"/>
      <c r="AH225" s="16">
        <f t="shared" si="34"/>
        <v>0</v>
      </c>
      <c r="AI225" s="16"/>
      <c r="AJ225" s="16">
        <f t="shared" si="18"/>
        <v>0</v>
      </c>
      <c r="AK225" s="16"/>
      <c r="AL225" s="16">
        <f t="shared" si="35"/>
        <v>0</v>
      </c>
      <c r="AM225" s="16"/>
      <c r="AN225" s="16">
        <f t="shared" si="2"/>
        <v>0</v>
      </c>
      <c r="AO225" s="16"/>
      <c r="AP225" s="16">
        <f t="shared" si="36"/>
        <v>0</v>
      </c>
      <c r="AQ225" s="16"/>
      <c r="AR225" s="16">
        <f t="shared" si="21"/>
        <v>0</v>
      </c>
      <c r="AS225" s="16"/>
      <c r="AT225" s="16">
        <f t="shared" si="22"/>
        <v>0</v>
      </c>
      <c r="AU225" s="16"/>
      <c r="AV225" s="16">
        <f t="shared" si="37"/>
        <v>0</v>
      </c>
      <c r="AW225" s="16"/>
      <c r="AX225" s="16">
        <f t="shared" si="38"/>
        <v>0</v>
      </c>
      <c r="AY225" s="16"/>
      <c r="AZ225" s="16">
        <f t="shared" si="24"/>
        <v>0</v>
      </c>
      <c r="BA225" s="16"/>
      <c r="BB225" s="16">
        <f t="shared" si="25"/>
        <v>0</v>
      </c>
      <c r="BC225" s="11">
        <f t="shared" si="39"/>
        <v>0</v>
      </c>
      <c r="BD225" s="17">
        <f>5000+5000</f>
        <v>10000</v>
      </c>
      <c r="BE225" s="17">
        <f>10000*440.8</f>
        <v>4408000</v>
      </c>
      <c r="BF225" s="17"/>
      <c r="BG225" s="16">
        <f t="shared" si="5"/>
        <v>0</v>
      </c>
      <c r="BH225" s="17"/>
      <c r="BI225" s="17"/>
    </row>
    <row r="226" spans="1:61" ht="12.75">
      <c r="A226" s="38">
        <v>36111</v>
      </c>
      <c r="B226" s="39" t="s">
        <v>100</v>
      </c>
      <c r="C226" s="40" t="s">
        <v>410</v>
      </c>
      <c r="D226" s="40" t="s">
        <v>891</v>
      </c>
      <c r="E226" s="17">
        <v>28</v>
      </c>
      <c r="F226" s="16">
        <f t="shared" si="0"/>
        <v>9744</v>
      </c>
      <c r="G226" s="17">
        <v>28</v>
      </c>
      <c r="H226" s="16">
        <f t="shared" si="1"/>
        <v>8282.4</v>
      </c>
      <c r="I226" s="16">
        <v>14</v>
      </c>
      <c r="J226" s="16">
        <f t="shared" si="6"/>
        <v>58464</v>
      </c>
      <c r="K226" s="16"/>
      <c r="L226" s="16">
        <f t="shared" si="7"/>
        <v>0</v>
      </c>
      <c r="M226" s="16"/>
      <c r="N226" s="16">
        <f t="shared" si="8"/>
        <v>0</v>
      </c>
      <c r="O226" s="16"/>
      <c r="P226" s="16">
        <f t="shared" si="9"/>
        <v>0</v>
      </c>
      <c r="Q226" s="16">
        <v>60</v>
      </c>
      <c r="R226" s="16">
        <f t="shared" si="29"/>
        <v>1670400</v>
      </c>
      <c r="S226" s="16">
        <v>14</v>
      </c>
      <c r="T226" s="16">
        <f t="shared" si="30"/>
        <v>47908</v>
      </c>
      <c r="U226" s="16">
        <v>28</v>
      </c>
      <c r="V226" s="16">
        <f t="shared" si="31"/>
        <v>85514.8</v>
      </c>
      <c r="W226" s="16"/>
      <c r="X226" s="16"/>
      <c r="Y226" s="16">
        <v>14</v>
      </c>
      <c r="Z226" s="16">
        <f t="shared" si="13"/>
        <v>82418</v>
      </c>
      <c r="AA226" s="16"/>
      <c r="AB226" s="16">
        <f t="shared" si="14"/>
        <v>0</v>
      </c>
      <c r="AC226" s="16">
        <v>14</v>
      </c>
      <c r="AD226" s="16">
        <f t="shared" si="32"/>
        <v>19390</v>
      </c>
      <c r="AE226" s="16">
        <v>42</v>
      </c>
      <c r="AF226" s="16">
        <f t="shared" si="33"/>
        <v>228496.8</v>
      </c>
      <c r="AG226" s="16">
        <v>14</v>
      </c>
      <c r="AH226" s="16">
        <f t="shared" si="34"/>
        <v>134003.24</v>
      </c>
      <c r="AI226" s="16">
        <v>28</v>
      </c>
      <c r="AJ226" s="16">
        <f t="shared" si="18"/>
        <v>12992</v>
      </c>
      <c r="AK226" s="16">
        <v>14</v>
      </c>
      <c r="AL226" s="16">
        <f t="shared" si="35"/>
        <v>1542.8</v>
      </c>
      <c r="AM226" s="16"/>
      <c r="AN226" s="16">
        <f t="shared" si="2"/>
        <v>0</v>
      </c>
      <c r="AO226" s="16">
        <v>42</v>
      </c>
      <c r="AP226" s="16">
        <f t="shared" si="36"/>
        <v>38488.799999999996</v>
      </c>
      <c r="AQ226" s="16"/>
      <c r="AR226" s="16">
        <f t="shared" si="21"/>
        <v>0</v>
      </c>
      <c r="AS226" s="16">
        <v>42</v>
      </c>
      <c r="AT226" s="16">
        <f t="shared" si="22"/>
        <v>13599.6</v>
      </c>
      <c r="AU226" s="16"/>
      <c r="AV226" s="16">
        <f t="shared" si="37"/>
        <v>0</v>
      </c>
      <c r="AW226" s="16">
        <v>60</v>
      </c>
      <c r="AX226" s="16">
        <f t="shared" si="38"/>
        <v>675120</v>
      </c>
      <c r="AY226" s="16">
        <v>14</v>
      </c>
      <c r="AZ226" s="16">
        <f t="shared" si="24"/>
        <v>45213.420000000006</v>
      </c>
      <c r="BA226" s="16"/>
      <c r="BB226" s="16">
        <f t="shared" si="25"/>
        <v>0</v>
      </c>
      <c r="BC226" s="11">
        <f t="shared" si="39"/>
        <v>3131577.86</v>
      </c>
      <c r="BD226" s="17"/>
      <c r="BE226" s="17"/>
      <c r="BF226" s="17">
        <v>14</v>
      </c>
      <c r="BG226" s="16">
        <f t="shared" si="5"/>
        <v>322000</v>
      </c>
      <c r="BH226" s="17"/>
      <c r="BI226" s="17"/>
    </row>
    <row r="227" spans="1:61" ht="12.75">
      <c r="A227" s="38">
        <v>36109</v>
      </c>
      <c r="B227" s="39" t="s">
        <v>22</v>
      </c>
      <c r="C227" s="40" t="s">
        <v>239</v>
      </c>
      <c r="D227" s="40" t="s">
        <v>821</v>
      </c>
      <c r="E227" s="17"/>
      <c r="F227" s="16">
        <f t="shared" si="0"/>
        <v>0</v>
      </c>
      <c r="G227" s="17"/>
      <c r="H227" s="16">
        <f t="shared" si="1"/>
        <v>0</v>
      </c>
      <c r="I227" s="16"/>
      <c r="J227" s="16">
        <f t="shared" si="6"/>
        <v>0</v>
      </c>
      <c r="K227" s="16"/>
      <c r="L227" s="16">
        <f t="shared" si="7"/>
        <v>0</v>
      </c>
      <c r="M227" s="16"/>
      <c r="N227" s="16">
        <f t="shared" si="8"/>
        <v>0</v>
      </c>
      <c r="O227" s="16"/>
      <c r="P227" s="16">
        <f t="shared" si="9"/>
        <v>0</v>
      </c>
      <c r="Q227" s="16"/>
      <c r="R227" s="16">
        <f t="shared" si="29"/>
        <v>0</v>
      </c>
      <c r="S227" s="16"/>
      <c r="T227" s="16">
        <f t="shared" si="30"/>
        <v>0</v>
      </c>
      <c r="U227" s="16"/>
      <c r="V227" s="16">
        <f t="shared" si="31"/>
        <v>0</v>
      </c>
      <c r="W227" s="16"/>
      <c r="X227" s="16"/>
      <c r="Y227" s="16"/>
      <c r="Z227" s="16">
        <f t="shared" si="13"/>
        <v>0</v>
      </c>
      <c r="AA227" s="16"/>
      <c r="AB227" s="16">
        <f t="shared" si="14"/>
        <v>0</v>
      </c>
      <c r="AC227" s="16"/>
      <c r="AD227" s="16">
        <f t="shared" si="32"/>
        <v>0</v>
      </c>
      <c r="AE227" s="16"/>
      <c r="AF227" s="16">
        <f t="shared" si="33"/>
        <v>0</v>
      </c>
      <c r="AG227" s="16"/>
      <c r="AH227" s="16">
        <f t="shared" si="34"/>
        <v>0</v>
      </c>
      <c r="AI227" s="16"/>
      <c r="AJ227" s="16">
        <f t="shared" si="18"/>
        <v>0</v>
      </c>
      <c r="AK227" s="16"/>
      <c r="AL227" s="16">
        <f t="shared" si="35"/>
        <v>0</v>
      </c>
      <c r="AM227" s="16"/>
      <c r="AN227" s="16">
        <f t="shared" si="2"/>
        <v>0</v>
      </c>
      <c r="AO227" s="16"/>
      <c r="AP227" s="16">
        <f t="shared" si="36"/>
        <v>0</v>
      </c>
      <c r="AQ227" s="16"/>
      <c r="AR227" s="16">
        <f t="shared" si="21"/>
        <v>0</v>
      </c>
      <c r="AS227" s="16"/>
      <c r="AT227" s="16">
        <f t="shared" si="22"/>
        <v>0</v>
      </c>
      <c r="AU227" s="16">
        <v>432</v>
      </c>
      <c r="AV227" s="16">
        <f t="shared" si="37"/>
        <v>4234464</v>
      </c>
      <c r="AW227" s="16"/>
      <c r="AX227" s="16">
        <f t="shared" si="38"/>
        <v>0</v>
      </c>
      <c r="AY227" s="16"/>
      <c r="AZ227" s="16">
        <f t="shared" si="24"/>
        <v>0</v>
      </c>
      <c r="BA227" s="16">
        <v>432</v>
      </c>
      <c r="BB227" s="16">
        <f t="shared" si="25"/>
        <v>3085115.04</v>
      </c>
      <c r="BC227" s="11">
        <f t="shared" si="39"/>
        <v>7319579.04</v>
      </c>
      <c r="BD227" s="17"/>
      <c r="BE227" s="17"/>
      <c r="BF227" s="17">
        <v>144</v>
      </c>
      <c r="BG227" s="16">
        <f t="shared" si="5"/>
        <v>3312000</v>
      </c>
      <c r="BH227" s="17"/>
      <c r="BI227" s="17"/>
    </row>
    <row r="228" spans="1:61" ht="12.75">
      <c r="A228" s="38">
        <v>36073</v>
      </c>
      <c r="B228" s="39" t="s">
        <v>92</v>
      </c>
      <c r="C228" s="40" t="s">
        <v>566</v>
      </c>
      <c r="D228" s="40" t="s">
        <v>821</v>
      </c>
      <c r="E228" s="17"/>
      <c r="F228" s="16">
        <f t="shared" si="0"/>
        <v>0</v>
      </c>
      <c r="G228" s="17"/>
      <c r="H228" s="16">
        <f t="shared" si="1"/>
        <v>0</v>
      </c>
      <c r="I228" s="16"/>
      <c r="J228" s="16">
        <f t="shared" si="6"/>
        <v>0</v>
      </c>
      <c r="K228" s="16"/>
      <c r="L228" s="16">
        <f t="shared" si="7"/>
        <v>0</v>
      </c>
      <c r="M228" s="16"/>
      <c r="N228" s="16">
        <f t="shared" si="8"/>
        <v>0</v>
      </c>
      <c r="O228" s="16"/>
      <c r="P228" s="16">
        <f t="shared" si="9"/>
        <v>0</v>
      </c>
      <c r="Q228" s="16"/>
      <c r="R228" s="16">
        <f t="shared" si="29"/>
        <v>0</v>
      </c>
      <c r="S228" s="16"/>
      <c r="T228" s="16">
        <f t="shared" si="30"/>
        <v>0</v>
      </c>
      <c r="U228" s="16"/>
      <c r="V228" s="16">
        <f t="shared" si="31"/>
        <v>0</v>
      </c>
      <c r="W228" s="16"/>
      <c r="X228" s="16"/>
      <c r="Y228" s="16"/>
      <c r="Z228" s="16">
        <f t="shared" si="13"/>
        <v>0</v>
      </c>
      <c r="AA228" s="16"/>
      <c r="AB228" s="16">
        <f t="shared" si="14"/>
        <v>0</v>
      </c>
      <c r="AC228" s="16"/>
      <c r="AD228" s="16">
        <f t="shared" si="32"/>
        <v>0</v>
      </c>
      <c r="AE228" s="16"/>
      <c r="AF228" s="16">
        <f t="shared" si="33"/>
        <v>0</v>
      </c>
      <c r="AG228" s="16"/>
      <c r="AH228" s="16">
        <f t="shared" si="34"/>
        <v>0</v>
      </c>
      <c r="AI228" s="16"/>
      <c r="AJ228" s="16">
        <f t="shared" si="18"/>
        <v>0</v>
      </c>
      <c r="AK228" s="16"/>
      <c r="AL228" s="16">
        <f t="shared" si="35"/>
        <v>0</v>
      </c>
      <c r="AM228" s="16"/>
      <c r="AN228" s="16">
        <f t="shared" si="2"/>
        <v>0</v>
      </c>
      <c r="AO228" s="16"/>
      <c r="AP228" s="16">
        <f t="shared" si="36"/>
        <v>0</v>
      </c>
      <c r="AQ228" s="16"/>
      <c r="AR228" s="16">
        <f t="shared" si="21"/>
        <v>0</v>
      </c>
      <c r="AS228" s="16"/>
      <c r="AT228" s="16">
        <f t="shared" si="22"/>
        <v>0</v>
      </c>
      <c r="AU228" s="16"/>
      <c r="AV228" s="16">
        <f t="shared" si="37"/>
        <v>0</v>
      </c>
      <c r="AW228" s="16"/>
      <c r="AX228" s="16">
        <f t="shared" si="38"/>
        <v>0</v>
      </c>
      <c r="AY228" s="16"/>
      <c r="AZ228" s="16">
        <f t="shared" si="24"/>
        <v>0</v>
      </c>
      <c r="BA228" s="16"/>
      <c r="BB228" s="16">
        <f t="shared" si="25"/>
        <v>0</v>
      </c>
      <c r="BC228" s="11">
        <f t="shared" si="39"/>
        <v>0</v>
      </c>
      <c r="BD228" s="17"/>
      <c r="BE228" s="17"/>
      <c r="BF228" s="17"/>
      <c r="BG228" s="16">
        <f t="shared" si="5"/>
        <v>0</v>
      </c>
      <c r="BH228" s="17">
        <v>1332</v>
      </c>
      <c r="BI228" s="17">
        <v>8524800</v>
      </c>
    </row>
    <row r="229" spans="1:61" ht="12.75">
      <c r="A229" s="38">
        <v>36042</v>
      </c>
      <c r="B229" s="39" t="s">
        <v>899</v>
      </c>
      <c r="C229" s="40" t="s">
        <v>733</v>
      </c>
      <c r="D229" s="40" t="s">
        <v>891</v>
      </c>
      <c r="E229" s="17"/>
      <c r="F229" s="16">
        <f t="shared" si="0"/>
        <v>0</v>
      </c>
      <c r="G229" s="17"/>
      <c r="H229" s="16">
        <f t="shared" si="1"/>
        <v>0</v>
      </c>
      <c r="I229" s="16"/>
      <c r="J229" s="16">
        <f t="shared" si="6"/>
        <v>0</v>
      </c>
      <c r="K229" s="16"/>
      <c r="L229" s="16">
        <f t="shared" si="7"/>
        <v>0</v>
      </c>
      <c r="M229" s="16"/>
      <c r="N229" s="16">
        <f t="shared" si="8"/>
        <v>0</v>
      </c>
      <c r="O229" s="16"/>
      <c r="P229" s="16">
        <f t="shared" si="9"/>
        <v>0</v>
      </c>
      <c r="Q229" s="16"/>
      <c r="R229" s="16">
        <f t="shared" si="29"/>
        <v>0</v>
      </c>
      <c r="S229" s="16"/>
      <c r="T229" s="16">
        <f t="shared" si="30"/>
        <v>0</v>
      </c>
      <c r="U229" s="16"/>
      <c r="V229" s="16">
        <f t="shared" si="31"/>
        <v>0</v>
      </c>
      <c r="W229" s="16"/>
      <c r="X229" s="16"/>
      <c r="Y229" s="16"/>
      <c r="Z229" s="16">
        <f t="shared" si="13"/>
        <v>0</v>
      </c>
      <c r="AA229" s="16"/>
      <c r="AB229" s="16">
        <f t="shared" si="14"/>
        <v>0</v>
      </c>
      <c r="AC229" s="16"/>
      <c r="AD229" s="16">
        <f t="shared" si="32"/>
        <v>0</v>
      </c>
      <c r="AE229" s="16"/>
      <c r="AF229" s="16">
        <f t="shared" si="33"/>
        <v>0</v>
      </c>
      <c r="AG229" s="16"/>
      <c r="AH229" s="16">
        <f t="shared" si="34"/>
        <v>0</v>
      </c>
      <c r="AI229" s="16"/>
      <c r="AJ229" s="16">
        <f t="shared" si="18"/>
        <v>0</v>
      </c>
      <c r="AK229" s="16"/>
      <c r="AL229" s="16">
        <f t="shared" si="35"/>
        <v>0</v>
      </c>
      <c r="AM229" s="16"/>
      <c r="AN229" s="16">
        <f t="shared" si="2"/>
        <v>0</v>
      </c>
      <c r="AO229" s="16"/>
      <c r="AP229" s="16">
        <f t="shared" si="36"/>
        <v>0</v>
      </c>
      <c r="AQ229" s="16"/>
      <c r="AR229" s="16">
        <f t="shared" si="21"/>
        <v>0</v>
      </c>
      <c r="AS229" s="16"/>
      <c r="AT229" s="16">
        <f t="shared" si="22"/>
        <v>0</v>
      </c>
      <c r="AU229" s="16"/>
      <c r="AV229" s="16">
        <f t="shared" si="37"/>
        <v>0</v>
      </c>
      <c r="AW229" s="16"/>
      <c r="AX229" s="16">
        <f t="shared" si="38"/>
        <v>0</v>
      </c>
      <c r="AY229" s="16"/>
      <c r="AZ229" s="16">
        <f t="shared" si="24"/>
        <v>0</v>
      </c>
      <c r="BA229" s="16"/>
      <c r="BB229" s="16">
        <f t="shared" si="25"/>
        <v>0</v>
      </c>
      <c r="BC229" s="11">
        <f t="shared" si="39"/>
        <v>0</v>
      </c>
      <c r="BD229" s="17"/>
      <c r="BE229" s="17"/>
      <c r="BF229" s="17">
        <v>50</v>
      </c>
      <c r="BG229" s="16">
        <f t="shared" si="5"/>
        <v>1150000</v>
      </c>
      <c r="BH229" s="17">
        <v>100</v>
      </c>
      <c r="BI229" s="17">
        <f>100*5900*1.16</f>
        <v>684400</v>
      </c>
    </row>
    <row r="230" spans="1:61" ht="12.75">
      <c r="A230" s="38">
        <v>36104</v>
      </c>
      <c r="B230" s="39" t="s">
        <v>13</v>
      </c>
      <c r="C230" s="40" t="s">
        <v>273</v>
      </c>
      <c r="D230" s="40" t="s">
        <v>821</v>
      </c>
      <c r="E230" s="17"/>
      <c r="F230" s="16">
        <f t="shared" si="0"/>
        <v>0</v>
      </c>
      <c r="G230" s="17"/>
      <c r="H230" s="16">
        <f t="shared" si="1"/>
        <v>0</v>
      </c>
      <c r="I230" s="16"/>
      <c r="J230" s="16">
        <f t="shared" si="6"/>
        <v>0</v>
      </c>
      <c r="K230" s="16"/>
      <c r="L230" s="16">
        <f t="shared" si="7"/>
        <v>0</v>
      </c>
      <c r="M230" s="16"/>
      <c r="N230" s="16">
        <f t="shared" si="8"/>
        <v>0</v>
      </c>
      <c r="O230" s="16"/>
      <c r="P230" s="16">
        <f t="shared" si="9"/>
        <v>0</v>
      </c>
      <c r="Q230" s="16">
        <v>219</v>
      </c>
      <c r="R230" s="16">
        <f t="shared" si="29"/>
        <v>6096960</v>
      </c>
      <c r="S230" s="16"/>
      <c r="T230" s="16">
        <f t="shared" si="30"/>
        <v>0</v>
      </c>
      <c r="U230" s="16"/>
      <c r="V230" s="16">
        <f t="shared" si="31"/>
        <v>0</v>
      </c>
      <c r="W230" s="16"/>
      <c r="X230" s="16"/>
      <c r="Y230" s="16"/>
      <c r="Z230" s="16">
        <f t="shared" si="13"/>
        <v>0</v>
      </c>
      <c r="AA230" s="16"/>
      <c r="AB230" s="16">
        <f t="shared" si="14"/>
        <v>0</v>
      </c>
      <c r="AC230" s="16"/>
      <c r="AD230" s="16">
        <f t="shared" si="32"/>
        <v>0</v>
      </c>
      <c r="AE230" s="16"/>
      <c r="AF230" s="16">
        <f t="shared" si="33"/>
        <v>0</v>
      </c>
      <c r="AG230" s="16"/>
      <c r="AH230" s="16">
        <f t="shared" si="34"/>
        <v>0</v>
      </c>
      <c r="AI230" s="16"/>
      <c r="AJ230" s="16">
        <f t="shared" si="18"/>
        <v>0</v>
      </c>
      <c r="AK230" s="16"/>
      <c r="AL230" s="16">
        <f t="shared" si="35"/>
        <v>0</v>
      </c>
      <c r="AM230" s="16"/>
      <c r="AN230" s="16">
        <f t="shared" si="2"/>
        <v>0</v>
      </c>
      <c r="AO230" s="16"/>
      <c r="AP230" s="16">
        <f t="shared" si="36"/>
        <v>0</v>
      </c>
      <c r="AQ230" s="16"/>
      <c r="AR230" s="16">
        <f t="shared" si="21"/>
        <v>0</v>
      </c>
      <c r="AS230" s="16"/>
      <c r="AT230" s="16">
        <f t="shared" si="22"/>
        <v>0</v>
      </c>
      <c r="AU230" s="16">
        <v>219</v>
      </c>
      <c r="AV230" s="16">
        <f t="shared" si="37"/>
        <v>2146638</v>
      </c>
      <c r="AW230" s="16"/>
      <c r="AX230" s="16">
        <f t="shared" si="38"/>
        <v>0</v>
      </c>
      <c r="AY230" s="16"/>
      <c r="AZ230" s="16">
        <f t="shared" si="24"/>
        <v>0</v>
      </c>
      <c r="BA230" s="16"/>
      <c r="BB230" s="16">
        <f t="shared" si="25"/>
        <v>0</v>
      </c>
      <c r="BC230" s="11">
        <f t="shared" si="39"/>
        <v>8243598</v>
      </c>
      <c r="BD230" s="17"/>
      <c r="BE230" s="17"/>
      <c r="BF230" s="17">
        <v>73</v>
      </c>
      <c r="BG230" s="16">
        <f>+BF230*21632</f>
        <v>1579136</v>
      </c>
      <c r="BH230" s="17"/>
      <c r="BI230" s="17"/>
    </row>
    <row r="231" spans="1:61" ht="12.75">
      <c r="A231" s="38">
        <v>36116</v>
      </c>
      <c r="B231" s="39" t="s">
        <v>59</v>
      </c>
      <c r="C231" s="40" t="s">
        <v>209</v>
      </c>
      <c r="D231" s="40" t="s">
        <v>821</v>
      </c>
      <c r="E231" s="17"/>
      <c r="F231" s="16">
        <f t="shared" si="0"/>
        <v>0</v>
      </c>
      <c r="G231" s="17"/>
      <c r="H231" s="16">
        <f t="shared" si="1"/>
        <v>0</v>
      </c>
      <c r="I231" s="16"/>
      <c r="J231" s="16">
        <f t="shared" si="6"/>
        <v>0</v>
      </c>
      <c r="K231" s="16"/>
      <c r="L231" s="16">
        <f t="shared" si="7"/>
        <v>0</v>
      </c>
      <c r="M231" s="16"/>
      <c r="N231" s="16">
        <f t="shared" si="8"/>
        <v>0</v>
      </c>
      <c r="O231" s="16"/>
      <c r="P231" s="16">
        <f t="shared" si="9"/>
        <v>0</v>
      </c>
      <c r="Q231" s="16">
        <v>882</v>
      </c>
      <c r="R231" s="16">
        <f t="shared" si="29"/>
        <v>24554880</v>
      </c>
      <c r="S231" s="16"/>
      <c r="T231" s="16">
        <f t="shared" si="30"/>
        <v>0</v>
      </c>
      <c r="U231" s="16"/>
      <c r="V231" s="16">
        <f t="shared" si="31"/>
        <v>0</v>
      </c>
      <c r="W231" s="16"/>
      <c r="X231" s="16"/>
      <c r="Y231" s="16"/>
      <c r="Z231" s="16">
        <f t="shared" si="13"/>
        <v>0</v>
      </c>
      <c r="AA231" s="16">
        <v>882</v>
      </c>
      <c r="AB231" s="16">
        <f t="shared" si="14"/>
        <v>12789000</v>
      </c>
      <c r="AC231" s="16"/>
      <c r="AD231" s="16">
        <f t="shared" si="32"/>
        <v>0</v>
      </c>
      <c r="AE231" s="16"/>
      <c r="AF231" s="16">
        <f t="shared" si="33"/>
        <v>0</v>
      </c>
      <c r="AG231" s="16"/>
      <c r="AH231" s="16">
        <f t="shared" si="34"/>
        <v>0</v>
      </c>
      <c r="AI231" s="16"/>
      <c r="AJ231" s="16">
        <f t="shared" si="18"/>
        <v>0</v>
      </c>
      <c r="AK231" s="16"/>
      <c r="AL231" s="16">
        <f t="shared" si="35"/>
        <v>0</v>
      </c>
      <c r="AM231" s="16"/>
      <c r="AN231" s="16">
        <f t="shared" si="2"/>
        <v>0</v>
      </c>
      <c r="AO231" s="16"/>
      <c r="AP231" s="16">
        <f t="shared" si="36"/>
        <v>0</v>
      </c>
      <c r="AQ231" s="16"/>
      <c r="AR231" s="16">
        <f t="shared" si="21"/>
        <v>0</v>
      </c>
      <c r="AS231" s="16"/>
      <c r="AT231" s="16">
        <f t="shared" si="22"/>
        <v>0</v>
      </c>
      <c r="AU231" s="16">
        <v>1752</v>
      </c>
      <c r="AV231" s="16">
        <f t="shared" si="37"/>
        <v>17173104</v>
      </c>
      <c r="AW231" s="16"/>
      <c r="AX231" s="16">
        <f t="shared" si="38"/>
        <v>0</v>
      </c>
      <c r="AY231" s="16"/>
      <c r="AZ231" s="16">
        <f t="shared" si="24"/>
        <v>0</v>
      </c>
      <c r="BA231" s="16">
        <v>1752</v>
      </c>
      <c r="BB231" s="16">
        <f t="shared" si="25"/>
        <v>12511855.440000001</v>
      </c>
      <c r="BC231" s="11">
        <f t="shared" si="39"/>
        <v>67028839.44</v>
      </c>
      <c r="BD231" s="17">
        <v>5000</v>
      </c>
      <c r="BE231" s="17">
        <f>5000*440.8</f>
        <v>2204000</v>
      </c>
      <c r="BF231" s="17">
        <v>584</v>
      </c>
      <c r="BG231" s="16">
        <f>+BF231*21632</f>
        <v>12633088</v>
      </c>
      <c r="BH231" s="17"/>
      <c r="BI231" s="17"/>
    </row>
    <row r="232" spans="1:61" ht="12.75">
      <c r="A232" s="38">
        <v>36121</v>
      </c>
      <c r="B232" s="39" t="s">
        <v>829</v>
      </c>
      <c r="C232" s="40" t="s">
        <v>119</v>
      </c>
      <c r="D232" s="40" t="s">
        <v>891</v>
      </c>
      <c r="E232" s="17">
        <v>176</v>
      </c>
      <c r="F232" s="16">
        <f t="shared" si="0"/>
        <v>61248</v>
      </c>
      <c r="G232" s="17">
        <v>176</v>
      </c>
      <c r="H232" s="16">
        <f t="shared" si="1"/>
        <v>52060.8</v>
      </c>
      <c r="I232" s="16">
        <v>176</v>
      </c>
      <c r="J232" s="16">
        <f t="shared" si="6"/>
        <v>734976</v>
      </c>
      <c r="K232" s="16"/>
      <c r="L232" s="16">
        <f t="shared" si="7"/>
        <v>0</v>
      </c>
      <c r="M232" s="16"/>
      <c r="N232" s="16">
        <f t="shared" si="8"/>
        <v>0</v>
      </c>
      <c r="O232" s="16"/>
      <c r="P232" s="16">
        <f t="shared" si="9"/>
        <v>0</v>
      </c>
      <c r="Q232" s="16">
        <v>176</v>
      </c>
      <c r="R232" s="16">
        <f t="shared" si="29"/>
        <v>4899840</v>
      </c>
      <c r="S232" s="16">
        <v>88</v>
      </c>
      <c r="T232" s="16">
        <f t="shared" si="30"/>
        <v>301136</v>
      </c>
      <c r="U232" s="16">
        <v>176</v>
      </c>
      <c r="V232" s="16">
        <f t="shared" si="31"/>
        <v>537521.6</v>
      </c>
      <c r="W232" s="16"/>
      <c r="X232" s="16"/>
      <c r="Y232" s="16">
        <v>88</v>
      </c>
      <c r="Z232" s="16">
        <f t="shared" si="13"/>
        <v>518056</v>
      </c>
      <c r="AA232" s="16">
        <v>88</v>
      </c>
      <c r="AB232" s="16">
        <f t="shared" si="14"/>
        <v>1276000</v>
      </c>
      <c r="AC232" s="16">
        <v>88</v>
      </c>
      <c r="AD232" s="16">
        <f t="shared" si="32"/>
        <v>121880</v>
      </c>
      <c r="AE232" s="16">
        <v>264</v>
      </c>
      <c r="AF232" s="16">
        <f t="shared" si="33"/>
        <v>1436265.5999999999</v>
      </c>
      <c r="AG232" s="16">
        <v>88</v>
      </c>
      <c r="AH232" s="16">
        <f t="shared" si="34"/>
        <v>842306.08</v>
      </c>
      <c r="AI232" s="16">
        <v>176</v>
      </c>
      <c r="AJ232" s="16">
        <f t="shared" si="18"/>
        <v>81664</v>
      </c>
      <c r="AK232" s="16">
        <v>88</v>
      </c>
      <c r="AL232" s="16">
        <f t="shared" si="35"/>
        <v>9697.6</v>
      </c>
      <c r="AM232" s="16"/>
      <c r="AN232" s="16">
        <f t="shared" si="2"/>
        <v>0</v>
      </c>
      <c r="AO232" s="16">
        <v>264</v>
      </c>
      <c r="AP232" s="16">
        <f t="shared" si="36"/>
        <v>241929.6</v>
      </c>
      <c r="AQ232" s="16"/>
      <c r="AR232" s="16">
        <f t="shared" si="21"/>
        <v>0</v>
      </c>
      <c r="AS232" s="16">
        <v>264</v>
      </c>
      <c r="AT232" s="16">
        <f t="shared" si="22"/>
        <v>85483.2</v>
      </c>
      <c r="AU232" s="16">
        <v>264</v>
      </c>
      <c r="AV232" s="16">
        <f t="shared" si="37"/>
        <v>2587728</v>
      </c>
      <c r="AW232" s="16"/>
      <c r="AX232" s="16">
        <f t="shared" si="38"/>
        <v>0</v>
      </c>
      <c r="AY232" s="16">
        <v>88</v>
      </c>
      <c r="AZ232" s="16">
        <f t="shared" si="24"/>
        <v>284198.64</v>
      </c>
      <c r="BA232" s="16"/>
      <c r="BB232" s="16">
        <f t="shared" si="25"/>
        <v>0</v>
      </c>
      <c r="BC232" s="11">
        <f t="shared" si="39"/>
        <v>14071991.119999997</v>
      </c>
      <c r="BD232" s="17"/>
      <c r="BE232" s="17"/>
      <c r="BF232" s="17">
        <v>88</v>
      </c>
      <c r="BG232" s="16">
        <f aca="true" t="shared" si="40" ref="BG232:BG263">+BF232*21632</f>
        <v>1903616</v>
      </c>
      <c r="BH232" s="17">
        <v>800</v>
      </c>
      <c r="BI232" s="17">
        <f>800*5890*1.16</f>
        <v>5465920</v>
      </c>
    </row>
    <row r="233" spans="1:61" ht="12.75">
      <c r="A233" s="38">
        <v>36121</v>
      </c>
      <c r="B233" s="39" t="s">
        <v>829</v>
      </c>
      <c r="C233" s="40" t="s">
        <v>122</v>
      </c>
      <c r="D233" s="40" t="s">
        <v>891</v>
      </c>
      <c r="E233" s="17">
        <f>50+40</f>
        <v>90</v>
      </c>
      <c r="F233" s="16">
        <f t="shared" si="0"/>
        <v>31320</v>
      </c>
      <c r="G233" s="17">
        <f>50+40</f>
        <v>90</v>
      </c>
      <c r="H233" s="16">
        <f t="shared" si="1"/>
        <v>26622</v>
      </c>
      <c r="I233" s="16">
        <f>50+20</f>
        <v>70</v>
      </c>
      <c r="J233" s="16">
        <f t="shared" si="6"/>
        <v>292320</v>
      </c>
      <c r="K233" s="16"/>
      <c r="L233" s="16">
        <f t="shared" si="7"/>
        <v>0</v>
      </c>
      <c r="M233" s="16"/>
      <c r="N233" s="16">
        <f t="shared" si="8"/>
        <v>0</v>
      </c>
      <c r="O233" s="16"/>
      <c r="P233" s="16">
        <f t="shared" si="9"/>
        <v>0</v>
      </c>
      <c r="Q233" s="16">
        <f>50+40</f>
        <v>90</v>
      </c>
      <c r="R233" s="16">
        <f t="shared" si="29"/>
        <v>2505600</v>
      </c>
      <c r="S233" s="16">
        <f>25+20</f>
        <v>45</v>
      </c>
      <c r="T233" s="16">
        <f t="shared" si="30"/>
        <v>153990</v>
      </c>
      <c r="U233" s="16">
        <f>50+40</f>
        <v>90</v>
      </c>
      <c r="V233" s="16">
        <f t="shared" si="31"/>
        <v>274869</v>
      </c>
      <c r="W233" s="16"/>
      <c r="X233" s="16"/>
      <c r="Y233" s="16">
        <f>25+20</f>
        <v>45</v>
      </c>
      <c r="Z233" s="16">
        <f t="shared" si="13"/>
        <v>264915</v>
      </c>
      <c r="AA233" s="16">
        <f>25+20</f>
        <v>45</v>
      </c>
      <c r="AB233" s="16">
        <f t="shared" si="14"/>
        <v>652500</v>
      </c>
      <c r="AC233" s="16">
        <f>25+20</f>
        <v>45</v>
      </c>
      <c r="AD233" s="16">
        <f t="shared" si="32"/>
        <v>62325</v>
      </c>
      <c r="AE233" s="16">
        <f>75+60</f>
        <v>135</v>
      </c>
      <c r="AF233" s="16">
        <f t="shared" si="33"/>
        <v>734454</v>
      </c>
      <c r="AG233" s="16">
        <f>25+20</f>
        <v>45</v>
      </c>
      <c r="AH233" s="16">
        <f t="shared" si="34"/>
        <v>430724.7</v>
      </c>
      <c r="AI233" s="16">
        <f>50+40</f>
        <v>90</v>
      </c>
      <c r="AJ233" s="16">
        <f t="shared" si="18"/>
        <v>41760</v>
      </c>
      <c r="AK233" s="16">
        <f>25+20</f>
        <v>45</v>
      </c>
      <c r="AL233" s="16">
        <f t="shared" si="35"/>
        <v>4959</v>
      </c>
      <c r="AM233" s="16"/>
      <c r="AN233" s="16">
        <f t="shared" si="2"/>
        <v>0</v>
      </c>
      <c r="AO233" s="16">
        <f>75+60</f>
        <v>135</v>
      </c>
      <c r="AP233" s="16">
        <f t="shared" si="36"/>
        <v>123714</v>
      </c>
      <c r="AQ233" s="16"/>
      <c r="AR233" s="16">
        <f t="shared" si="21"/>
        <v>0</v>
      </c>
      <c r="AS233" s="16">
        <f>75+60</f>
        <v>135</v>
      </c>
      <c r="AT233" s="16">
        <f t="shared" si="22"/>
        <v>43713</v>
      </c>
      <c r="AU233" s="16">
        <f>75+60</f>
        <v>135</v>
      </c>
      <c r="AV233" s="16">
        <f t="shared" si="37"/>
        <v>1323270</v>
      </c>
      <c r="AW233" s="16"/>
      <c r="AX233" s="16">
        <f t="shared" si="38"/>
        <v>0</v>
      </c>
      <c r="AY233" s="16">
        <f>25+20</f>
        <v>45</v>
      </c>
      <c r="AZ233" s="16">
        <f t="shared" si="24"/>
        <v>145328.85</v>
      </c>
      <c r="BA233" s="16"/>
      <c r="BB233" s="16">
        <f t="shared" si="25"/>
        <v>0</v>
      </c>
      <c r="BC233" s="11">
        <f t="shared" si="39"/>
        <v>7112384.55</v>
      </c>
      <c r="BD233" s="17"/>
      <c r="BE233" s="17"/>
      <c r="BF233" s="17">
        <f>25+20</f>
        <v>45</v>
      </c>
      <c r="BG233" s="16">
        <f t="shared" si="40"/>
        <v>973440</v>
      </c>
      <c r="BH233" s="17">
        <v>200</v>
      </c>
      <c r="BI233" s="17">
        <f>200*5890*1.16</f>
        <v>1366480</v>
      </c>
    </row>
    <row r="234" spans="1:61" ht="12.75">
      <c r="A234" s="38">
        <v>36105</v>
      </c>
      <c r="B234" s="39" t="s">
        <v>13</v>
      </c>
      <c r="C234" s="40" t="s">
        <v>458</v>
      </c>
      <c r="D234" s="40" t="s">
        <v>821</v>
      </c>
      <c r="E234" s="17"/>
      <c r="F234" s="16">
        <f t="shared" si="0"/>
        <v>0</v>
      </c>
      <c r="G234" s="17"/>
      <c r="H234" s="16">
        <f t="shared" si="1"/>
        <v>0</v>
      </c>
      <c r="I234" s="16"/>
      <c r="J234" s="16">
        <f t="shared" si="6"/>
        <v>0</v>
      </c>
      <c r="K234" s="16">
        <v>20</v>
      </c>
      <c r="L234" s="16">
        <f t="shared" si="7"/>
        <v>135390.6</v>
      </c>
      <c r="M234" s="16"/>
      <c r="N234" s="16">
        <f t="shared" si="8"/>
        <v>0</v>
      </c>
      <c r="O234" s="16"/>
      <c r="P234" s="16">
        <f t="shared" si="9"/>
        <v>0</v>
      </c>
      <c r="Q234" s="16"/>
      <c r="R234" s="16">
        <f t="shared" si="29"/>
        <v>0</v>
      </c>
      <c r="S234" s="16"/>
      <c r="T234" s="16">
        <f t="shared" si="30"/>
        <v>0</v>
      </c>
      <c r="U234" s="16"/>
      <c r="V234" s="16">
        <f t="shared" si="31"/>
        <v>0</v>
      </c>
      <c r="W234" s="16"/>
      <c r="X234" s="16"/>
      <c r="Y234" s="16"/>
      <c r="Z234" s="16">
        <f t="shared" si="13"/>
        <v>0</v>
      </c>
      <c r="AA234" s="16"/>
      <c r="AB234" s="16">
        <f t="shared" si="14"/>
        <v>0</v>
      </c>
      <c r="AC234" s="16"/>
      <c r="AD234" s="16">
        <f t="shared" si="32"/>
        <v>0</v>
      </c>
      <c r="AE234" s="16"/>
      <c r="AF234" s="16">
        <f t="shared" si="33"/>
        <v>0</v>
      </c>
      <c r="AG234" s="16"/>
      <c r="AH234" s="16">
        <f t="shared" si="34"/>
        <v>0</v>
      </c>
      <c r="AI234" s="16"/>
      <c r="AJ234" s="16">
        <f t="shared" si="18"/>
        <v>0</v>
      </c>
      <c r="AK234" s="16"/>
      <c r="AL234" s="16">
        <f t="shared" si="35"/>
        <v>0</v>
      </c>
      <c r="AM234" s="16">
        <v>4</v>
      </c>
      <c r="AN234" s="16">
        <f t="shared" si="2"/>
        <v>1020069.24</v>
      </c>
      <c r="AO234" s="16"/>
      <c r="AP234" s="16">
        <f t="shared" si="36"/>
        <v>0</v>
      </c>
      <c r="AQ234" s="16"/>
      <c r="AR234" s="16">
        <f t="shared" si="21"/>
        <v>0</v>
      </c>
      <c r="AS234" s="16"/>
      <c r="AT234" s="16">
        <f t="shared" si="22"/>
        <v>0</v>
      </c>
      <c r="AU234" s="16"/>
      <c r="AV234" s="16">
        <f t="shared" si="37"/>
        <v>0</v>
      </c>
      <c r="AW234" s="16"/>
      <c r="AX234" s="16">
        <f t="shared" si="38"/>
        <v>0</v>
      </c>
      <c r="AY234" s="16"/>
      <c r="AZ234" s="16">
        <f t="shared" si="24"/>
        <v>0</v>
      </c>
      <c r="BA234" s="16"/>
      <c r="BB234" s="16">
        <f t="shared" si="25"/>
        <v>0</v>
      </c>
      <c r="BC234" s="11">
        <f t="shared" si="39"/>
        <v>1155459.84</v>
      </c>
      <c r="BD234" s="17"/>
      <c r="BE234" s="17"/>
      <c r="BF234" s="17">
        <v>40</v>
      </c>
      <c r="BG234" s="16">
        <f t="shared" si="40"/>
        <v>865280</v>
      </c>
      <c r="BH234" s="17"/>
      <c r="BI234" s="17"/>
    </row>
    <row r="235" spans="1:61" ht="12.75">
      <c r="A235" s="38">
        <v>36117</v>
      </c>
      <c r="B235" s="39" t="s">
        <v>49</v>
      </c>
      <c r="C235" s="40" t="s">
        <v>330</v>
      </c>
      <c r="D235" s="40" t="s">
        <v>821</v>
      </c>
      <c r="E235" s="17"/>
      <c r="F235" s="16">
        <f t="shared" si="0"/>
        <v>0</v>
      </c>
      <c r="G235" s="17"/>
      <c r="H235" s="16">
        <f t="shared" si="1"/>
        <v>0</v>
      </c>
      <c r="I235" s="16"/>
      <c r="J235" s="16">
        <f t="shared" si="6"/>
        <v>0</v>
      </c>
      <c r="K235" s="16"/>
      <c r="L235" s="16">
        <f t="shared" si="7"/>
        <v>0</v>
      </c>
      <c r="M235" s="16">
        <v>60</v>
      </c>
      <c r="N235" s="16">
        <f t="shared" si="8"/>
        <v>149112</v>
      </c>
      <c r="O235" s="16"/>
      <c r="P235" s="16">
        <f t="shared" si="9"/>
        <v>0</v>
      </c>
      <c r="Q235" s="16">
        <v>60</v>
      </c>
      <c r="R235" s="16">
        <f t="shared" si="29"/>
        <v>1670400</v>
      </c>
      <c r="S235" s="16"/>
      <c r="T235" s="16">
        <f t="shared" si="30"/>
        <v>0</v>
      </c>
      <c r="U235" s="16"/>
      <c r="V235" s="16">
        <f t="shared" si="31"/>
        <v>0</v>
      </c>
      <c r="W235" s="16"/>
      <c r="X235" s="16"/>
      <c r="Y235" s="16"/>
      <c r="Z235" s="16">
        <f t="shared" si="13"/>
        <v>0</v>
      </c>
      <c r="AA235" s="16"/>
      <c r="AB235" s="16">
        <f t="shared" si="14"/>
        <v>0</v>
      </c>
      <c r="AC235" s="16"/>
      <c r="AD235" s="16">
        <f t="shared" si="32"/>
        <v>0</v>
      </c>
      <c r="AE235" s="16"/>
      <c r="AF235" s="16">
        <f t="shared" si="33"/>
        <v>0</v>
      </c>
      <c r="AG235" s="16"/>
      <c r="AH235" s="16">
        <f t="shared" si="34"/>
        <v>0</v>
      </c>
      <c r="AI235" s="16"/>
      <c r="AJ235" s="16">
        <f t="shared" si="18"/>
        <v>0</v>
      </c>
      <c r="AK235" s="16"/>
      <c r="AL235" s="16">
        <f t="shared" si="35"/>
        <v>0</v>
      </c>
      <c r="AM235" s="16"/>
      <c r="AN235" s="16">
        <f t="shared" si="2"/>
        <v>0</v>
      </c>
      <c r="AO235" s="16"/>
      <c r="AP235" s="16">
        <f t="shared" si="36"/>
        <v>0</v>
      </c>
      <c r="AQ235" s="16"/>
      <c r="AR235" s="16">
        <f t="shared" si="21"/>
        <v>0</v>
      </c>
      <c r="AS235" s="16"/>
      <c r="AT235" s="16">
        <f t="shared" si="22"/>
        <v>0</v>
      </c>
      <c r="AU235" s="16">
        <v>60</v>
      </c>
      <c r="AV235" s="16">
        <f t="shared" si="37"/>
        <v>588120</v>
      </c>
      <c r="AW235" s="16"/>
      <c r="AX235" s="16">
        <f t="shared" si="38"/>
        <v>0</v>
      </c>
      <c r="AY235" s="16"/>
      <c r="AZ235" s="16">
        <f t="shared" si="24"/>
        <v>0</v>
      </c>
      <c r="BA235" s="16"/>
      <c r="BB235" s="16">
        <f t="shared" si="25"/>
        <v>0</v>
      </c>
      <c r="BC235" s="11">
        <f t="shared" si="39"/>
        <v>2407632</v>
      </c>
      <c r="BD235" s="17"/>
      <c r="BE235" s="17"/>
      <c r="BF235" s="17"/>
      <c r="BG235" s="16">
        <f t="shared" si="40"/>
        <v>0</v>
      </c>
      <c r="BH235" s="17"/>
      <c r="BI235" s="17"/>
    </row>
    <row r="236" spans="1:61" ht="12.75">
      <c r="A236" s="38">
        <v>36117</v>
      </c>
      <c r="B236" s="39" t="s">
        <v>889</v>
      </c>
      <c r="C236" s="40" t="s">
        <v>315</v>
      </c>
      <c r="D236" s="40" t="s">
        <v>821</v>
      </c>
      <c r="E236" s="17">
        <v>134</v>
      </c>
      <c r="F236" s="16">
        <f t="shared" si="0"/>
        <v>46632</v>
      </c>
      <c r="G236" s="17">
        <v>134</v>
      </c>
      <c r="H236" s="16">
        <f t="shared" si="1"/>
        <v>39637.200000000004</v>
      </c>
      <c r="I236" s="16">
        <v>22</v>
      </c>
      <c r="J236" s="16">
        <f t="shared" si="6"/>
        <v>91872</v>
      </c>
      <c r="K236" s="16"/>
      <c r="L236" s="16">
        <f t="shared" si="7"/>
        <v>0</v>
      </c>
      <c r="M236" s="16">
        <v>61</v>
      </c>
      <c r="N236" s="16">
        <f t="shared" si="8"/>
        <v>151597.19999999998</v>
      </c>
      <c r="O236" s="16"/>
      <c r="P236" s="16">
        <f t="shared" si="9"/>
        <v>0</v>
      </c>
      <c r="Q236" s="16">
        <v>61</v>
      </c>
      <c r="R236" s="16">
        <f t="shared" si="29"/>
        <v>1698240</v>
      </c>
      <c r="S236" s="16">
        <v>67</v>
      </c>
      <c r="T236" s="16">
        <f t="shared" si="30"/>
        <v>229274</v>
      </c>
      <c r="U236" s="16">
        <v>134</v>
      </c>
      <c r="V236" s="16">
        <f t="shared" si="31"/>
        <v>409249.39999999997</v>
      </c>
      <c r="W236" s="16"/>
      <c r="X236" s="16"/>
      <c r="Y236" s="16"/>
      <c r="Z236" s="16">
        <f t="shared" si="13"/>
        <v>0</v>
      </c>
      <c r="AA236" s="16"/>
      <c r="AB236" s="16">
        <f t="shared" si="14"/>
        <v>0</v>
      </c>
      <c r="AC236" s="16">
        <v>67</v>
      </c>
      <c r="AD236" s="16">
        <f t="shared" si="32"/>
        <v>92795</v>
      </c>
      <c r="AE236" s="16"/>
      <c r="AF236" s="16">
        <f t="shared" si="33"/>
        <v>0</v>
      </c>
      <c r="AG236" s="16">
        <v>22</v>
      </c>
      <c r="AH236" s="16">
        <f t="shared" si="34"/>
        <v>210576.52</v>
      </c>
      <c r="AI236" s="16">
        <v>134</v>
      </c>
      <c r="AJ236" s="16">
        <f t="shared" si="18"/>
        <v>62176</v>
      </c>
      <c r="AK236" s="16">
        <v>67</v>
      </c>
      <c r="AL236" s="16">
        <f t="shared" si="35"/>
        <v>7383.400000000001</v>
      </c>
      <c r="AM236" s="16"/>
      <c r="AN236" s="16">
        <f t="shared" si="2"/>
        <v>0</v>
      </c>
      <c r="AO236" s="16">
        <v>68</v>
      </c>
      <c r="AP236" s="16">
        <f t="shared" si="36"/>
        <v>62315.2</v>
      </c>
      <c r="AQ236" s="16"/>
      <c r="AR236" s="16">
        <f t="shared" si="21"/>
        <v>0</v>
      </c>
      <c r="AS236" s="16"/>
      <c r="AT236" s="16">
        <f t="shared" si="22"/>
        <v>0</v>
      </c>
      <c r="AU236" s="16">
        <v>61</v>
      </c>
      <c r="AV236" s="16">
        <f t="shared" si="37"/>
        <v>597922</v>
      </c>
      <c r="AW236" s="16"/>
      <c r="AX236" s="16">
        <f t="shared" si="38"/>
        <v>0</v>
      </c>
      <c r="AY236" s="16">
        <v>67</v>
      </c>
      <c r="AZ236" s="16">
        <f t="shared" si="24"/>
        <v>216378.51</v>
      </c>
      <c r="BA236" s="16"/>
      <c r="BB236" s="16">
        <f t="shared" si="25"/>
        <v>0</v>
      </c>
      <c r="BC236" s="11">
        <f t="shared" si="39"/>
        <v>3916048.4299999997</v>
      </c>
      <c r="BD236" s="17"/>
      <c r="BE236" s="17"/>
      <c r="BF236" s="17"/>
      <c r="BG236" s="16">
        <f t="shared" si="40"/>
        <v>0</v>
      </c>
      <c r="BH236" s="17"/>
      <c r="BI236" s="17"/>
    </row>
    <row r="237" spans="1:61" ht="12.75">
      <c r="A237" s="38">
        <v>36111</v>
      </c>
      <c r="B237" s="39" t="s">
        <v>22</v>
      </c>
      <c r="C237" s="40" t="s">
        <v>27</v>
      </c>
      <c r="D237" s="40" t="s">
        <v>821</v>
      </c>
      <c r="E237" s="17">
        <v>44</v>
      </c>
      <c r="F237" s="16">
        <f t="shared" si="0"/>
        <v>15312</v>
      </c>
      <c r="G237" s="17">
        <v>44</v>
      </c>
      <c r="H237" s="16">
        <f t="shared" si="1"/>
        <v>13015.2</v>
      </c>
      <c r="I237" s="16">
        <v>22</v>
      </c>
      <c r="J237" s="16">
        <f t="shared" si="6"/>
        <v>91872</v>
      </c>
      <c r="K237" s="16"/>
      <c r="L237" s="16">
        <f t="shared" si="7"/>
        <v>0</v>
      </c>
      <c r="M237" s="16"/>
      <c r="N237" s="16">
        <f t="shared" si="8"/>
        <v>0</v>
      </c>
      <c r="O237" s="16"/>
      <c r="P237" s="16">
        <f t="shared" si="9"/>
        <v>0</v>
      </c>
      <c r="Q237" s="16">
        <v>66</v>
      </c>
      <c r="R237" s="16">
        <f t="shared" si="29"/>
        <v>1837440</v>
      </c>
      <c r="S237" s="16">
        <v>22</v>
      </c>
      <c r="T237" s="16">
        <f t="shared" si="30"/>
        <v>75284</v>
      </c>
      <c r="U237" s="16">
        <v>44</v>
      </c>
      <c r="V237" s="16">
        <f t="shared" si="31"/>
        <v>134380.4</v>
      </c>
      <c r="W237" s="16"/>
      <c r="X237" s="16"/>
      <c r="Y237" s="16">
        <v>22</v>
      </c>
      <c r="Z237" s="16">
        <f t="shared" si="13"/>
        <v>129514</v>
      </c>
      <c r="AA237" s="16"/>
      <c r="AB237" s="16">
        <f t="shared" si="14"/>
        <v>0</v>
      </c>
      <c r="AC237" s="16">
        <v>22</v>
      </c>
      <c r="AD237" s="16">
        <f t="shared" si="32"/>
        <v>30470</v>
      </c>
      <c r="AE237" s="16">
        <v>66</v>
      </c>
      <c r="AF237" s="16">
        <f t="shared" si="33"/>
        <v>359066.39999999997</v>
      </c>
      <c r="AG237" s="16">
        <v>22</v>
      </c>
      <c r="AH237" s="16">
        <f t="shared" si="34"/>
        <v>210576.52</v>
      </c>
      <c r="AI237" s="16">
        <v>44</v>
      </c>
      <c r="AJ237" s="16">
        <f t="shared" si="18"/>
        <v>20416</v>
      </c>
      <c r="AK237" s="16">
        <v>22</v>
      </c>
      <c r="AL237" s="16">
        <f t="shared" si="35"/>
        <v>2424.4</v>
      </c>
      <c r="AM237" s="16"/>
      <c r="AN237" s="16">
        <f t="shared" si="2"/>
        <v>0</v>
      </c>
      <c r="AO237" s="16">
        <v>66</v>
      </c>
      <c r="AP237" s="16">
        <f t="shared" si="36"/>
        <v>60482.4</v>
      </c>
      <c r="AQ237" s="16"/>
      <c r="AR237" s="16">
        <f t="shared" si="21"/>
        <v>0</v>
      </c>
      <c r="AS237" s="16">
        <v>66</v>
      </c>
      <c r="AT237" s="16">
        <f t="shared" si="22"/>
        <v>21370.8</v>
      </c>
      <c r="AU237" s="16">
        <v>66</v>
      </c>
      <c r="AV237" s="16">
        <f t="shared" si="37"/>
        <v>646932</v>
      </c>
      <c r="AW237" s="16"/>
      <c r="AX237" s="16">
        <f t="shared" si="38"/>
        <v>0</v>
      </c>
      <c r="AY237" s="16">
        <v>22</v>
      </c>
      <c r="AZ237" s="16">
        <f t="shared" si="24"/>
        <v>71049.66</v>
      </c>
      <c r="BA237" s="16"/>
      <c r="BB237" s="16">
        <f t="shared" si="25"/>
        <v>0</v>
      </c>
      <c r="BC237" s="11">
        <f t="shared" si="39"/>
        <v>3719605.78</v>
      </c>
      <c r="BD237" s="17"/>
      <c r="BE237" s="17"/>
      <c r="BF237" s="17">
        <v>22</v>
      </c>
      <c r="BG237" s="16">
        <f t="shared" si="40"/>
        <v>475904</v>
      </c>
      <c r="BH237" s="17"/>
      <c r="BI237" s="17"/>
    </row>
    <row r="238" spans="1:61" ht="12.75">
      <c r="A238" s="38">
        <v>36111</v>
      </c>
      <c r="B238" s="39" t="s">
        <v>22</v>
      </c>
      <c r="C238" s="40" t="s">
        <v>29</v>
      </c>
      <c r="D238" s="40" t="s">
        <v>821</v>
      </c>
      <c r="E238" s="17">
        <v>36</v>
      </c>
      <c r="F238" s="16">
        <f t="shared" si="0"/>
        <v>12528</v>
      </c>
      <c r="G238" s="17">
        <v>36</v>
      </c>
      <c r="H238" s="16">
        <f t="shared" si="1"/>
        <v>10648.800000000001</v>
      </c>
      <c r="I238" s="16">
        <v>18</v>
      </c>
      <c r="J238" s="16">
        <f t="shared" si="6"/>
        <v>75168</v>
      </c>
      <c r="K238" s="16"/>
      <c r="L238" s="16">
        <f t="shared" si="7"/>
        <v>0</v>
      </c>
      <c r="M238" s="16"/>
      <c r="N238" s="16">
        <f t="shared" si="8"/>
        <v>0</v>
      </c>
      <c r="O238" s="16"/>
      <c r="P238" s="16">
        <f t="shared" si="9"/>
        <v>0</v>
      </c>
      <c r="Q238" s="16">
        <v>54</v>
      </c>
      <c r="R238" s="16">
        <f t="shared" si="29"/>
        <v>1503360</v>
      </c>
      <c r="S238" s="16">
        <v>18</v>
      </c>
      <c r="T238" s="16">
        <f t="shared" si="30"/>
        <v>61596</v>
      </c>
      <c r="U238" s="16">
        <v>36</v>
      </c>
      <c r="V238" s="16">
        <f t="shared" si="31"/>
        <v>109947.59999999999</v>
      </c>
      <c r="W238" s="16"/>
      <c r="X238" s="16"/>
      <c r="Y238" s="16">
        <v>18</v>
      </c>
      <c r="Z238" s="16">
        <f t="shared" si="13"/>
        <v>105966</v>
      </c>
      <c r="AA238" s="16"/>
      <c r="AB238" s="16">
        <f t="shared" si="14"/>
        <v>0</v>
      </c>
      <c r="AC238" s="16">
        <v>18</v>
      </c>
      <c r="AD238" s="16">
        <f t="shared" si="32"/>
        <v>24930</v>
      </c>
      <c r="AE238" s="16">
        <v>54</v>
      </c>
      <c r="AF238" s="16">
        <f t="shared" si="33"/>
        <v>293781.6</v>
      </c>
      <c r="AG238" s="16">
        <v>18</v>
      </c>
      <c r="AH238" s="16">
        <f t="shared" si="34"/>
        <v>172289.88</v>
      </c>
      <c r="AI238" s="16">
        <v>36</v>
      </c>
      <c r="AJ238" s="16">
        <f t="shared" si="18"/>
        <v>16704</v>
      </c>
      <c r="AK238" s="16">
        <v>18</v>
      </c>
      <c r="AL238" s="16">
        <f t="shared" si="35"/>
        <v>1983.6000000000001</v>
      </c>
      <c r="AM238" s="16"/>
      <c r="AN238" s="16">
        <f t="shared" si="2"/>
        <v>0</v>
      </c>
      <c r="AO238" s="16">
        <v>54</v>
      </c>
      <c r="AP238" s="16">
        <f t="shared" si="36"/>
        <v>49485.6</v>
      </c>
      <c r="AQ238" s="16"/>
      <c r="AR238" s="16">
        <f t="shared" si="21"/>
        <v>0</v>
      </c>
      <c r="AS238" s="16">
        <v>54</v>
      </c>
      <c r="AT238" s="16">
        <f t="shared" si="22"/>
        <v>17485.2</v>
      </c>
      <c r="AU238" s="16">
        <v>54</v>
      </c>
      <c r="AV238" s="16">
        <f t="shared" si="37"/>
        <v>529308</v>
      </c>
      <c r="AW238" s="16"/>
      <c r="AX238" s="16">
        <f t="shared" si="38"/>
        <v>0</v>
      </c>
      <c r="AY238" s="16">
        <v>18</v>
      </c>
      <c r="AZ238" s="16">
        <f t="shared" si="24"/>
        <v>58131.54</v>
      </c>
      <c r="BA238" s="16"/>
      <c r="BB238" s="16">
        <f t="shared" si="25"/>
        <v>0</v>
      </c>
      <c r="BC238" s="11">
        <f t="shared" si="39"/>
        <v>3043313.8200000003</v>
      </c>
      <c r="BD238" s="17"/>
      <c r="BE238" s="17"/>
      <c r="BF238" s="17">
        <v>18</v>
      </c>
      <c r="BG238" s="16">
        <f t="shared" si="40"/>
        <v>389376</v>
      </c>
      <c r="BH238" s="17"/>
      <c r="BI238" s="17"/>
    </row>
    <row r="239" spans="1:61" ht="12.75">
      <c r="A239" s="38">
        <v>36119</v>
      </c>
      <c r="B239" s="39" t="s">
        <v>22</v>
      </c>
      <c r="C239" s="40" t="s">
        <v>147</v>
      </c>
      <c r="D239" s="40" t="s">
        <v>821</v>
      </c>
      <c r="E239" s="17">
        <v>94</v>
      </c>
      <c r="F239" s="16">
        <f t="shared" si="0"/>
        <v>32712</v>
      </c>
      <c r="G239" s="17">
        <v>94</v>
      </c>
      <c r="H239" s="16">
        <f t="shared" si="1"/>
        <v>27805.2</v>
      </c>
      <c r="I239" s="16">
        <v>47</v>
      </c>
      <c r="J239" s="16">
        <f t="shared" si="6"/>
        <v>196272</v>
      </c>
      <c r="K239" s="16"/>
      <c r="L239" s="16">
        <f t="shared" si="7"/>
        <v>0</v>
      </c>
      <c r="M239" s="16"/>
      <c r="N239" s="16">
        <f t="shared" si="8"/>
        <v>0</v>
      </c>
      <c r="O239" s="16"/>
      <c r="P239" s="16">
        <f t="shared" si="9"/>
        <v>0</v>
      </c>
      <c r="Q239" s="16">
        <v>141</v>
      </c>
      <c r="R239" s="16">
        <f t="shared" si="29"/>
        <v>3925440</v>
      </c>
      <c r="S239" s="16">
        <v>47</v>
      </c>
      <c r="T239" s="16">
        <f t="shared" si="30"/>
        <v>160834</v>
      </c>
      <c r="U239" s="16">
        <v>94</v>
      </c>
      <c r="V239" s="16">
        <f t="shared" si="31"/>
        <v>287085.39999999997</v>
      </c>
      <c r="W239" s="16"/>
      <c r="X239" s="16"/>
      <c r="Y239" s="16">
        <v>47</v>
      </c>
      <c r="Z239" s="16">
        <f t="shared" si="13"/>
        <v>276689</v>
      </c>
      <c r="AA239" s="16"/>
      <c r="AB239" s="16">
        <f t="shared" si="14"/>
        <v>0</v>
      </c>
      <c r="AC239" s="16">
        <v>47</v>
      </c>
      <c r="AD239" s="16">
        <f t="shared" si="32"/>
        <v>65095</v>
      </c>
      <c r="AE239" s="16">
        <v>141</v>
      </c>
      <c r="AF239" s="16">
        <f t="shared" si="33"/>
        <v>767096.3999999999</v>
      </c>
      <c r="AG239" s="16">
        <v>47</v>
      </c>
      <c r="AH239" s="16">
        <f t="shared" si="34"/>
        <v>449868.02</v>
      </c>
      <c r="AI239" s="16">
        <v>94</v>
      </c>
      <c r="AJ239" s="16">
        <f t="shared" si="18"/>
        <v>43616</v>
      </c>
      <c r="AK239" s="16">
        <v>47</v>
      </c>
      <c r="AL239" s="16">
        <f t="shared" si="35"/>
        <v>5179.400000000001</v>
      </c>
      <c r="AM239" s="16"/>
      <c r="AN239" s="16">
        <f t="shared" si="2"/>
        <v>0</v>
      </c>
      <c r="AO239" s="16">
        <v>141</v>
      </c>
      <c r="AP239" s="16">
        <f t="shared" si="36"/>
        <v>129212.4</v>
      </c>
      <c r="AQ239" s="16"/>
      <c r="AR239" s="16">
        <f t="shared" si="21"/>
        <v>0</v>
      </c>
      <c r="AS239" s="16">
        <v>141</v>
      </c>
      <c r="AT239" s="16">
        <f t="shared" si="22"/>
        <v>45655.8</v>
      </c>
      <c r="AU239" s="16">
        <v>141</v>
      </c>
      <c r="AV239" s="16">
        <f t="shared" si="37"/>
        <v>1382082</v>
      </c>
      <c r="AW239" s="16"/>
      <c r="AX239" s="16">
        <f t="shared" si="38"/>
        <v>0</v>
      </c>
      <c r="AY239" s="16">
        <v>47</v>
      </c>
      <c r="AZ239" s="16">
        <f t="shared" si="24"/>
        <v>151787.91</v>
      </c>
      <c r="BA239" s="16"/>
      <c r="BB239" s="16">
        <f t="shared" si="25"/>
        <v>0</v>
      </c>
      <c r="BC239" s="11">
        <f t="shared" si="39"/>
        <v>7946430.53</v>
      </c>
      <c r="BD239" s="17"/>
      <c r="BE239" s="17"/>
      <c r="BF239" s="17">
        <v>47</v>
      </c>
      <c r="BG239" s="16">
        <f t="shared" si="40"/>
        <v>1016704</v>
      </c>
      <c r="BH239" s="17"/>
      <c r="BI239" s="17"/>
    </row>
    <row r="240" spans="1:61" ht="12.75">
      <c r="A240" s="38">
        <v>36114</v>
      </c>
      <c r="B240" s="39" t="s">
        <v>195</v>
      </c>
      <c r="C240" s="40" t="s">
        <v>340</v>
      </c>
      <c r="D240" s="40" t="s">
        <v>911</v>
      </c>
      <c r="E240" s="17"/>
      <c r="F240" s="16">
        <f t="shared" si="0"/>
        <v>0</v>
      </c>
      <c r="G240" s="17"/>
      <c r="H240" s="16">
        <f t="shared" si="1"/>
        <v>0</v>
      </c>
      <c r="I240" s="16"/>
      <c r="J240" s="16">
        <f t="shared" si="6"/>
        <v>0</v>
      </c>
      <c r="K240" s="16"/>
      <c r="L240" s="16">
        <f t="shared" si="7"/>
        <v>0</v>
      </c>
      <c r="M240" s="16"/>
      <c r="N240" s="16">
        <f t="shared" si="8"/>
        <v>0</v>
      </c>
      <c r="O240" s="16"/>
      <c r="P240" s="16">
        <f t="shared" si="9"/>
        <v>0</v>
      </c>
      <c r="Q240" s="16"/>
      <c r="R240" s="16">
        <f t="shared" si="29"/>
        <v>0</v>
      </c>
      <c r="S240" s="16"/>
      <c r="T240" s="16">
        <f t="shared" si="30"/>
        <v>0</v>
      </c>
      <c r="U240" s="16"/>
      <c r="V240" s="16">
        <f t="shared" si="31"/>
        <v>0</v>
      </c>
      <c r="W240" s="16"/>
      <c r="X240" s="16"/>
      <c r="Y240" s="16"/>
      <c r="Z240" s="16">
        <f t="shared" si="13"/>
        <v>0</v>
      </c>
      <c r="AA240" s="16"/>
      <c r="AB240" s="16">
        <f t="shared" si="14"/>
        <v>0</v>
      </c>
      <c r="AC240" s="16"/>
      <c r="AD240" s="16">
        <f t="shared" si="32"/>
        <v>0</v>
      </c>
      <c r="AE240" s="16"/>
      <c r="AF240" s="16">
        <f t="shared" si="33"/>
        <v>0</v>
      </c>
      <c r="AG240" s="16"/>
      <c r="AH240" s="16">
        <f t="shared" si="34"/>
        <v>0</v>
      </c>
      <c r="AI240" s="16"/>
      <c r="AJ240" s="16">
        <f t="shared" si="18"/>
        <v>0</v>
      </c>
      <c r="AK240" s="16"/>
      <c r="AL240" s="16">
        <f t="shared" si="35"/>
        <v>0</v>
      </c>
      <c r="AM240" s="16"/>
      <c r="AN240" s="16">
        <f t="shared" si="2"/>
        <v>0</v>
      </c>
      <c r="AO240" s="16"/>
      <c r="AP240" s="16">
        <f t="shared" si="36"/>
        <v>0</v>
      </c>
      <c r="AQ240" s="16"/>
      <c r="AR240" s="16">
        <f t="shared" si="21"/>
        <v>0</v>
      </c>
      <c r="AS240" s="16"/>
      <c r="AT240" s="16">
        <f t="shared" si="22"/>
        <v>0</v>
      </c>
      <c r="AU240" s="16"/>
      <c r="AV240" s="16">
        <f t="shared" si="37"/>
        <v>0</v>
      </c>
      <c r="AW240" s="16"/>
      <c r="AX240" s="16">
        <f t="shared" si="38"/>
        <v>0</v>
      </c>
      <c r="AY240" s="16"/>
      <c r="AZ240" s="16">
        <f t="shared" si="24"/>
        <v>0</v>
      </c>
      <c r="BA240" s="16"/>
      <c r="BB240" s="16">
        <f t="shared" si="25"/>
        <v>0</v>
      </c>
      <c r="BC240" s="11">
        <f t="shared" si="39"/>
        <v>0</v>
      </c>
      <c r="BD240" s="17"/>
      <c r="BE240" s="17"/>
      <c r="BF240" s="17"/>
      <c r="BG240" s="16">
        <f t="shared" si="40"/>
        <v>0</v>
      </c>
      <c r="BH240" s="17">
        <v>180</v>
      </c>
      <c r="BI240" s="17">
        <f>180*5890*1.16</f>
        <v>1229832</v>
      </c>
    </row>
    <row r="241" spans="1:61" ht="12.75">
      <c r="A241" s="38">
        <v>36125</v>
      </c>
      <c r="B241" s="39" t="s">
        <v>310</v>
      </c>
      <c r="C241" s="40" t="s">
        <v>341</v>
      </c>
      <c r="D241" s="40" t="s">
        <v>821</v>
      </c>
      <c r="E241" s="17">
        <v>3</v>
      </c>
      <c r="F241" s="16">
        <f t="shared" si="0"/>
        <v>1044</v>
      </c>
      <c r="G241" s="17">
        <v>2</v>
      </c>
      <c r="H241" s="16">
        <f t="shared" si="1"/>
        <v>591.6</v>
      </c>
      <c r="I241" s="16">
        <v>1</v>
      </c>
      <c r="J241" s="16">
        <f t="shared" si="6"/>
        <v>4176</v>
      </c>
      <c r="K241" s="16"/>
      <c r="L241" s="16">
        <f t="shared" si="7"/>
        <v>0</v>
      </c>
      <c r="M241" s="16"/>
      <c r="N241" s="16">
        <f t="shared" si="8"/>
        <v>0</v>
      </c>
      <c r="O241" s="16"/>
      <c r="P241" s="16">
        <f t="shared" si="9"/>
        <v>0</v>
      </c>
      <c r="Q241" s="16">
        <v>5</v>
      </c>
      <c r="R241" s="16">
        <f t="shared" si="29"/>
        <v>139200</v>
      </c>
      <c r="S241" s="16">
        <v>1</v>
      </c>
      <c r="T241" s="16">
        <f t="shared" si="30"/>
        <v>3422</v>
      </c>
      <c r="U241" s="16">
        <v>2</v>
      </c>
      <c r="V241" s="16">
        <f t="shared" si="31"/>
        <v>6108.2</v>
      </c>
      <c r="W241" s="16"/>
      <c r="X241" s="16"/>
      <c r="Y241" s="16">
        <v>1</v>
      </c>
      <c r="Z241" s="16">
        <f t="shared" si="13"/>
        <v>5887</v>
      </c>
      <c r="AA241" s="16"/>
      <c r="AB241" s="16">
        <f t="shared" si="14"/>
        <v>0</v>
      </c>
      <c r="AC241" s="16">
        <v>1</v>
      </c>
      <c r="AD241" s="16">
        <f t="shared" si="32"/>
        <v>1385</v>
      </c>
      <c r="AE241" s="16">
        <v>3</v>
      </c>
      <c r="AF241" s="16">
        <f t="shared" si="33"/>
        <v>16321.199999999999</v>
      </c>
      <c r="AG241" s="16">
        <v>1</v>
      </c>
      <c r="AH241" s="16">
        <f t="shared" si="34"/>
        <v>9571.66</v>
      </c>
      <c r="AI241" s="16">
        <v>2</v>
      </c>
      <c r="AJ241" s="16">
        <f t="shared" si="18"/>
        <v>928</v>
      </c>
      <c r="AK241" s="16">
        <v>1</v>
      </c>
      <c r="AL241" s="16">
        <f t="shared" si="35"/>
        <v>110.2</v>
      </c>
      <c r="AM241" s="16"/>
      <c r="AN241" s="16">
        <f t="shared" si="2"/>
        <v>0</v>
      </c>
      <c r="AO241" s="16">
        <v>3</v>
      </c>
      <c r="AP241" s="16">
        <f t="shared" si="36"/>
        <v>2749.2</v>
      </c>
      <c r="AQ241" s="16"/>
      <c r="AR241" s="16">
        <f t="shared" si="21"/>
        <v>0</v>
      </c>
      <c r="AS241" s="16"/>
      <c r="AT241" s="16">
        <f t="shared" si="22"/>
        <v>0</v>
      </c>
      <c r="AU241" s="16">
        <v>5</v>
      </c>
      <c r="AV241" s="16">
        <f t="shared" si="37"/>
        <v>49010</v>
      </c>
      <c r="AW241" s="16">
        <v>5</v>
      </c>
      <c r="AX241" s="16">
        <f t="shared" si="38"/>
        <v>56260</v>
      </c>
      <c r="AY241" s="16">
        <v>1</v>
      </c>
      <c r="AZ241" s="16">
        <f t="shared" si="24"/>
        <v>3229.53</v>
      </c>
      <c r="BA241" s="16">
        <v>5</v>
      </c>
      <c r="BB241" s="16">
        <f t="shared" si="25"/>
        <v>35707.35</v>
      </c>
      <c r="BC241" s="11">
        <f t="shared" si="39"/>
        <v>335700.94000000006</v>
      </c>
      <c r="BD241" s="17"/>
      <c r="BE241" s="17"/>
      <c r="BF241" s="17"/>
      <c r="BG241" s="16">
        <f t="shared" si="40"/>
        <v>0</v>
      </c>
      <c r="BH241" s="17"/>
      <c r="BI241" s="17"/>
    </row>
    <row r="242" spans="1:61" ht="12.75">
      <c r="A242" s="38">
        <v>36118</v>
      </c>
      <c r="B242" s="39" t="s">
        <v>13</v>
      </c>
      <c r="C242" s="40" t="s">
        <v>268</v>
      </c>
      <c r="D242" s="40" t="s">
        <v>821</v>
      </c>
      <c r="E242" s="17"/>
      <c r="F242" s="16">
        <f t="shared" si="0"/>
        <v>0</v>
      </c>
      <c r="G242" s="17"/>
      <c r="H242" s="16">
        <f t="shared" si="1"/>
        <v>0</v>
      </c>
      <c r="I242" s="16"/>
      <c r="J242" s="16">
        <f t="shared" si="6"/>
        <v>0</v>
      </c>
      <c r="K242" s="16"/>
      <c r="L242" s="16">
        <f t="shared" si="7"/>
        <v>0</v>
      </c>
      <c r="M242" s="16"/>
      <c r="N242" s="16">
        <f t="shared" si="8"/>
        <v>0</v>
      </c>
      <c r="O242" s="16"/>
      <c r="P242" s="16">
        <f t="shared" si="9"/>
        <v>0</v>
      </c>
      <c r="Q242" s="16"/>
      <c r="R242" s="16">
        <f t="shared" si="29"/>
        <v>0</v>
      </c>
      <c r="S242" s="16"/>
      <c r="T242" s="16">
        <f t="shared" si="30"/>
        <v>0</v>
      </c>
      <c r="U242" s="16"/>
      <c r="V242" s="16">
        <f t="shared" si="31"/>
        <v>0</v>
      </c>
      <c r="W242" s="16"/>
      <c r="X242" s="16"/>
      <c r="Y242" s="16"/>
      <c r="Z242" s="16">
        <f t="shared" si="13"/>
        <v>0</v>
      </c>
      <c r="AA242" s="16"/>
      <c r="AB242" s="16">
        <f t="shared" si="14"/>
        <v>0</v>
      </c>
      <c r="AC242" s="16"/>
      <c r="AD242" s="16">
        <f t="shared" si="32"/>
        <v>0</v>
      </c>
      <c r="AE242" s="16"/>
      <c r="AF242" s="16">
        <f t="shared" si="33"/>
        <v>0</v>
      </c>
      <c r="AG242" s="16"/>
      <c r="AH242" s="16">
        <f t="shared" si="34"/>
        <v>0</v>
      </c>
      <c r="AI242" s="16"/>
      <c r="AJ242" s="16">
        <f t="shared" si="18"/>
        <v>0</v>
      </c>
      <c r="AK242" s="16"/>
      <c r="AL242" s="16">
        <f t="shared" si="35"/>
        <v>0</v>
      </c>
      <c r="AM242" s="16"/>
      <c r="AN242" s="16">
        <f t="shared" si="2"/>
        <v>0</v>
      </c>
      <c r="AO242" s="16"/>
      <c r="AP242" s="16">
        <f t="shared" si="36"/>
        <v>0</v>
      </c>
      <c r="AQ242" s="16"/>
      <c r="AR242" s="16">
        <f t="shared" si="21"/>
        <v>0</v>
      </c>
      <c r="AS242" s="16"/>
      <c r="AT242" s="16">
        <f t="shared" si="22"/>
        <v>0</v>
      </c>
      <c r="AU242" s="16"/>
      <c r="AV242" s="16">
        <f t="shared" si="37"/>
        <v>0</v>
      </c>
      <c r="AW242" s="16"/>
      <c r="AX242" s="16">
        <f t="shared" si="38"/>
        <v>0</v>
      </c>
      <c r="AY242" s="16"/>
      <c r="AZ242" s="16">
        <f t="shared" si="24"/>
        <v>0</v>
      </c>
      <c r="BA242" s="16"/>
      <c r="BB242" s="16">
        <f t="shared" si="25"/>
        <v>0</v>
      </c>
      <c r="BC242" s="11">
        <f t="shared" si="39"/>
        <v>0</v>
      </c>
      <c r="BD242" s="17"/>
      <c r="BE242" s="17"/>
      <c r="BF242" s="17">
        <v>192</v>
      </c>
      <c r="BG242" s="16">
        <f t="shared" si="40"/>
        <v>4153344</v>
      </c>
      <c r="BH242" s="17">
        <v>2000</v>
      </c>
      <c r="BI242" s="17">
        <f>2000*5900*1.16</f>
        <v>13687999.999999998</v>
      </c>
    </row>
    <row r="243" spans="1:61" ht="12.75">
      <c r="A243" s="38">
        <v>36118</v>
      </c>
      <c r="B243" s="39" t="s">
        <v>39</v>
      </c>
      <c r="C243" s="40" t="s">
        <v>540</v>
      </c>
      <c r="D243" s="40" t="s">
        <v>821</v>
      </c>
      <c r="E243" s="17"/>
      <c r="F243" s="16">
        <f t="shared" si="0"/>
        <v>0</v>
      </c>
      <c r="G243" s="17"/>
      <c r="H243" s="16">
        <f t="shared" si="1"/>
        <v>0</v>
      </c>
      <c r="I243" s="16"/>
      <c r="J243" s="16">
        <f t="shared" si="6"/>
        <v>0</v>
      </c>
      <c r="K243" s="16"/>
      <c r="L243" s="16">
        <f t="shared" si="7"/>
        <v>0</v>
      </c>
      <c r="M243" s="16"/>
      <c r="N243" s="16">
        <f t="shared" si="8"/>
        <v>0</v>
      </c>
      <c r="O243" s="16"/>
      <c r="P243" s="16">
        <f t="shared" si="9"/>
        <v>0</v>
      </c>
      <c r="Q243" s="16">
        <v>225</v>
      </c>
      <c r="R243" s="16">
        <f t="shared" si="29"/>
        <v>6264000</v>
      </c>
      <c r="S243" s="16"/>
      <c r="T243" s="16">
        <f t="shared" si="30"/>
        <v>0</v>
      </c>
      <c r="U243" s="16"/>
      <c r="V243" s="16">
        <f t="shared" si="31"/>
        <v>0</v>
      </c>
      <c r="W243" s="16"/>
      <c r="X243" s="16"/>
      <c r="Y243" s="16"/>
      <c r="Z243" s="16">
        <f t="shared" si="13"/>
        <v>0</v>
      </c>
      <c r="AA243" s="16">
        <v>225</v>
      </c>
      <c r="AB243" s="16">
        <f t="shared" si="14"/>
        <v>3262500</v>
      </c>
      <c r="AC243" s="16"/>
      <c r="AD243" s="16">
        <f t="shared" si="32"/>
        <v>0</v>
      </c>
      <c r="AE243" s="16"/>
      <c r="AF243" s="16">
        <f t="shared" si="33"/>
        <v>0</v>
      </c>
      <c r="AG243" s="16"/>
      <c r="AH243" s="16">
        <f t="shared" si="34"/>
        <v>0</v>
      </c>
      <c r="AI243" s="16"/>
      <c r="AJ243" s="16">
        <f t="shared" si="18"/>
        <v>0</v>
      </c>
      <c r="AK243" s="16"/>
      <c r="AL243" s="16">
        <f t="shared" si="35"/>
        <v>0</v>
      </c>
      <c r="AM243" s="16"/>
      <c r="AN243" s="16">
        <f t="shared" si="2"/>
        <v>0</v>
      </c>
      <c r="AO243" s="16"/>
      <c r="AP243" s="16">
        <f t="shared" si="36"/>
        <v>0</v>
      </c>
      <c r="AQ243" s="16"/>
      <c r="AR243" s="16">
        <f t="shared" si="21"/>
        <v>0</v>
      </c>
      <c r="AS243" s="16"/>
      <c r="AT243" s="16">
        <f t="shared" si="22"/>
        <v>0</v>
      </c>
      <c r="AU243" s="16">
        <v>450</v>
      </c>
      <c r="AV243" s="16">
        <f t="shared" si="37"/>
        <v>4410900</v>
      </c>
      <c r="AW243" s="16"/>
      <c r="AX243" s="16">
        <f t="shared" si="38"/>
        <v>0</v>
      </c>
      <c r="AY243" s="16"/>
      <c r="AZ243" s="16">
        <f t="shared" si="24"/>
        <v>0</v>
      </c>
      <c r="BA243" s="16"/>
      <c r="BB243" s="16">
        <f t="shared" si="25"/>
        <v>0</v>
      </c>
      <c r="BC243" s="11">
        <f t="shared" si="39"/>
        <v>13937400</v>
      </c>
      <c r="BD243" s="17"/>
      <c r="BE243" s="17"/>
      <c r="BF243" s="17">
        <v>150</v>
      </c>
      <c r="BG243" s="16">
        <f t="shared" si="40"/>
        <v>3244800</v>
      </c>
      <c r="BH243" s="17">
        <v>500</v>
      </c>
      <c r="BI243" s="17">
        <f>500*5900*1.16</f>
        <v>3421999.9999999995</v>
      </c>
    </row>
    <row r="244" spans="1:61" ht="12.75">
      <c r="A244" s="38">
        <v>36129</v>
      </c>
      <c r="B244" s="39" t="s">
        <v>100</v>
      </c>
      <c r="C244" s="40" t="s">
        <v>410</v>
      </c>
      <c r="D244" s="40" t="s">
        <v>911</v>
      </c>
      <c r="E244" s="17"/>
      <c r="F244" s="16">
        <f t="shared" si="0"/>
        <v>0</v>
      </c>
      <c r="G244" s="17"/>
      <c r="H244" s="16">
        <f t="shared" si="1"/>
        <v>0</v>
      </c>
      <c r="I244" s="16"/>
      <c r="J244" s="16">
        <f t="shared" si="6"/>
        <v>0</v>
      </c>
      <c r="K244" s="16"/>
      <c r="L244" s="16">
        <f t="shared" si="7"/>
        <v>0</v>
      </c>
      <c r="M244" s="16"/>
      <c r="N244" s="16">
        <f t="shared" si="8"/>
        <v>0</v>
      </c>
      <c r="O244" s="16"/>
      <c r="P244" s="16">
        <f t="shared" si="9"/>
        <v>0</v>
      </c>
      <c r="Q244" s="16"/>
      <c r="R244" s="16">
        <f t="shared" si="29"/>
        <v>0</v>
      </c>
      <c r="S244" s="16"/>
      <c r="T244" s="16">
        <f t="shared" si="30"/>
        <v>0</v>
      </c>
      <c r="U244" s="16"/>
      <c r="V244" s="16">
        <f t="shared" si="31"/>
        <v>0</v>
      </c>
      <c r="W244" s="16"/>
      <c r="X244" s="16"/>
      <c r="Y244" s="16"/>
      <c r="Z244" s="16">
        <f t="shared" si="13"/>
        <v>0</v>
      </c>
      <c r="AA244" s="16"/>
      <c r="AB244" s="16">
        <f t="shared" si="14"/>
        <v>0</v>
      </c>
      <c r="AC244" s="16"/>
      <c r="AD244" s="16">
        <f t="shared" si="32"/>
        <v>0</v>
      </c>
      <c r="AE244" s="16"/>
      <c r="AF244" s="16">
        <f t="shared" si="33"/>
        <v>0</v>
      </c>
      <c r="AG244" s="16"/>
      <c r="AH244" s="16">
        <f t="shared" si="34"/>
        <v>0</v>
      </c>
      <c r="AI244" s="16"/>
      <c r="AJ244" s="16">
        <f t="shared" si="18"/>
        <v>0</v>
      </c>
      <c r="AK244" s="16"/>
      <c r="AL244" s="16">
        <f t="shared" si="35"/>
        <v>0</v>
      </c>
      <c r="AM244" s="16"/>
      <c r="AN244" s="16">
        <f t="shared" si="2"/>
        <v>0</v>
      </c>
      <c r="AO244" s="16"/>
      <c r="AP244" s="16">
        <f t="shared" si="36"/>
        <v>0</v>
      </c>
      <c r="AQ244" s="16"/>
      <c r="AR244" s="16">
        <f t="shared" si="21"/>
        <v>0</v>
      </c>
      <c r="AS244" s="16"/>
      <c r="AT244" s="16">
        <f t="shared" si="22"/>
        <v>0</v>
      </c>
      <c r="AU244" s="16"/>
      <c r="AV244" s="16">
        <f t="shared" si="37"/>
        <v>0</v>
      </c>
      <c r="AW244" s="16"/>
      <c r="AX244" s="16">
        <f t="shared" si="38"/>
        <v>0</v>
      </c>
      <c r="AY244" s="16"/>
      <c r="AZ244" s="16">
        <f t="shared" si="24"/>
        <v>0</v>
      </c>
      <c r="BA244" s="16"/>
      <c r="BB244" s="16">
        <f t="shared" si="25"/>
        <v>0</v>
      </c>
      <c r="BC244" s="11">
        <f t="shared" si="39"/>
        <v>0</v>
      </c>
      <c r="BD244" s="17"/>
      <c r="BE244" s="17"/>
      <c r="BF244" s="17"/>
      <c r="BG244" s="16">
        <f t="shared" si="40"/>
        <v>0</v>
      </c>
      <c r="BH244" s="17">
        <v>15</v>
      </c>
      <c r="BI244" s="17">
        <f>15*5890*1.16</f>
        <v>102486</v>
      </c>
    </row>
    <row r="245" spans="1:61" ht="12.75">
      <c r="A245" s="38">
        <v>36129</v>
      </c>
      <c r="B245" s="39" t="s">
        <v>100</v>
      </c>
      <c r="C245" s="40" t="s">
        <v>189</v>
      </c>
      <c r="D245" s="40" t="s">
        <v>875</v>
      </c>
      <c r="E245" s="17"/>
      <c r="F245" s="16">
        <f t="shared" si="0"/>
        <v>0</v>
      </c>
      <c r="G245" s="17"/>
      <c r="H245" s="16">
        <f t="shared" si="1"/>
        <v>0</v>
      </c>
      <c r="I245" s="16"/>
      <c r="J245" s="16">
        <f t="shared" si="6"/>
        <v>0</v>
      </c>
      <c r="K245" s="16"/>
      <c r="L245" s="16">
        <f t="shared" si="7"/>
        <v>0</v>
      </c>
      <c r="M245" s="16"/>
      <c r="N245" s="16">
        <f t="shared" si="8"/>
        <v>0</v>
      </c>
      <c r="O245" s="16"/>
      <c r="P245" s="16">
        <f t="shared" si="9"/>
        <v>0</v>
      </c>
      <c r="Q245" s="16"/>
      <c r="R245" s="16">
        <f t="shared" si="29"/>
        <v>0</v>
      </c>
      <c r="S245" s="16"/>
      <c r="T245" s="16">
        <f t="shared" si="30"/>
        <v>0</v>
      </c>
      <c r="U245" s="16"/>
      <c r="V245" s="16">
        <f t="shared" si="31"/>
        <v>0</v>
      </c>
      <c r="W245" s="16"/>
      <c r="X245" s="16"/>
      <c r="Y245" s="16"/>
      <c r="Z245" s="16">
        <f t="shared" si="13"/>
        <v>0</v>
      </c>
      <c r="AA245" s="16"/>
      <c r="AB245" s="16">
        <f t="shared" si="14"/>
        <v>0</v>
      </c>
      <c r="AC245" s="16"/>
      <c r="AD245" s="16">
        <f t="shared" si="32"/>
        <v>0</v>
      </c>
      <c r="AE245" s="16"/>
      <c r="AF245" s="16">
        <f t="shared" si="33"/>
        <v>0</v>
      </c>
      <c r="AG245" s="16"/>
      <c r="AH245" s="16">
        <f t="shared" si="34"/>
        <v>0</v>
      </c>
      <c r="AI245" s="16"/>
      <c r="AJ245" s="16">
        <f t="shared" si="18"/>
        <v>0</v>
      </c>
      <c r="AK245" s="16"/>
      <c r="AL245" s="16">
        <f t="shared" si="35"/>
        <v>0</v>
      </c>
      <c r="AM245" s="16"/>
      <c r="AN245" s="16">
        <f t="shared" si="2"/>
        <v>0</v>
      </c>
      <c r="AO245" s="16"/>
      <c r="AP245" s="16">
        <f t="shared" si="36"/>
        <v>0</v>
      </c>
      <c r="AQ245" s="16"/>
      <c r="AR245" s="16">
        <f t="shared" si="21"/>
        <v>0</v>
      </c>
      <c r="AS245" s="16"/>
      <c r="AT245" s="16">
        <f t="shared" si="22"/>
        <v>0</v>
      </c>
      <c r="AU245" s="16"/>
      <c r="AV245" s="16">
        <f t="shared" si="37"/>
        <v>0</v>
      </c>
      <c r="AW245" s="16"/>
      <c r="AX245" s="16">
        <f t="shared" si="38"/>
        <v>0</v>
      </c>
      <c r="AY245" s="16"/>
      <c r="AZ245" s="16">
        <f t="shared" si="24"/>
        <v>0</v>
      </c>
      <c r="BA245" s="16"/>
      <c r="BB245" s="16">
        <f t="shared" si="25"/>
        <v>0</v>
      </c>
      <c r="BC245" s="11">
        <f t="shared" si="39"/>
        <v>0</v>
      </c>
      <c r="BD245" s="17"/>
      <c r="BE245" s="17"/>
      <c r="BF245" s="17"/>
      <c r="BG245" s="16">
        <f t="shared" si="40"/>
        <v>0</v>
      </c>
      <c r="BH245" s="17">
        <v>889</v>
      </c>
      <c r="BI245" s="17">
        <f>889*5890*1.16</f>
        <v>6074003.6</v>
      </c>
    </row>
    <row r="246" spans="1:61" ht="12.75">
      <c r="A246" s="38">
        <v>36129</v>
      </c>
      <c r="B246" s="39" t="s">
        <v>100</v>
      </c>
      <c r="C246" s="40" t="s">
        <v>190</v>
      </c>
      <c r="D246" s="40" t="s">
        <v>821</v>
      </c>
      <c r="E246" s="17"/>
      <c r="F246" s="16">
        <f t="shared" si="0"/>
        <v>0</v>
      </c>
      <c r="G246" s="17"/>
      <c r="H246" s="16">
        <f t="shared" si="1"/>
        <v>0</v>
      </c>
      <c r="I246" s="16"/>
      <c r="J246" s="16">
        <f t="shared" si="6"/>
        <v>0</v>
      </c>
      <c r="K246" s="16"/>
      <c r="L246" s="16">
        <f t="shared" si="7"/>
        <v>0</v>
      </c>
      <c r="M246" s="16"/>
      <c r="N246" s="16">
        <f t="shared" si="8"/>
        <v>0</v>
      </c>
      <c r="O246" s="16"/>
      <c r="P246" s="16">
        <f t="shared" si="9"/>
        <v>0</v>
      </c>
      <c r="Q246" s="16"/>
      <c r="R246" s="16">
        <f t="shared" si="29"/>
        <v>0</v>
      </c>
      <c r="S246" s="16"/>
      <c r="T246" s="16">
        <f t="shared" si="30"/>
        <v>0</v>
      </c>
      <c r="U246" s="16"/>
      <c r="V246" s="16">
        <f t="shared" si="31"/>
        <v>0</v>
      </c>
      <c r="W246" s="16"/>
      <c r="X246" s="16"/>
      <c r="Y246" s="16"/>
      <c r="Z246" s="16">
        <f t="shared" si="13"/>
        <v>0</v>
      </c>
      <c r="AA246" s="16"/>
      <c r="AB246" s="16">
        <f t="shared" si="14"/>
        <v>0</v>
      </c>
      <c r="AC246" s="16"/>
      <c r="AD246" s="16">
        <f t="shared" si="32"/>
        <v>0</v>
      </c>
      <c r="AE246" s="16"/>
      <c r="AF246" s="16">
        <f t="shared" si="33"/>
        <v>0</v>
      </c>
      <c r="AG246" s="16"/>
      <c r="AH246" s="16">
        <f t="shared" si="34"/>
        <v>0</v>
      </c>
      <c r="AI246" s="16"/>
      <c r="AJ246" s="16">
        <f t="shared" si="18"/>
        <v>0</v>
      </c>
      <c r="AK246" s="16"/>
      <c r="AL246" s="16">
        <f t="shared" si="35"/>
        <v>0</v>
      </c>
      <c r="AM246" s="16"/>
      <c r="AN246" s="16">
        <f t="shared" si="2"/>
        <v>0</v>
      </c>
      <c r="AO246" s="16"/>
      <c r="AP246" s="16">
        <f t="shared" si="36"/>
        <v>0</v>
      </c>
      <c r="AQ246" s="16"/>
      <c r="AR246" s="16">
        <f t="shared" si="21"/>
        <v>0</v>
      </c>
      <c r="AS246" s="16"/>
      <c r="AT246" s="16">
        <f t="shared" si="22"/>
        <v>0</v>
      </c>
      <c r="AU246" s="16"/>
      <c r="AV246" s="16">
        <f t="shared" si="37"/>
        <v>0</v>
      </c>
      <c r="AW246" s="16"/>
      <c r="AX246" s="16">
        <f t="shared" si="38"/>
        <v>0</v>
      </c>
      <c r="AY246" s="16"/>
      <c r="AZ246" s="16">
        <f t="shared" si="24"/>
        <v>0</v>
      </c>
      <c r="BA246" s="16"/>
      <c r="BB246" s="16">
        <f t="shared" si="25"/>
        <v>0</v>
      </c>
      <c r="BC246" s="11">
        <f t="shared" si="39"/>
        <v>0</v>
      </c>
      <c r="BD246" s="17"/>
      <c r="BE246" s="17"/>
      <c r="BF246" s="17"/>
      <c r="BG246" s="16">
        <f t="shared" si="40"/>
        <v>0</v>
      </c>
      <c r="BH246" s="17">
        <v>45</v>
      </c>
      <c r="BI246" s="17">
        <f>45*5890*1.16</f>
        <v>307458</v>
      </c>
    </row>
    <row r="247" spans="1:61" ht="12.75">
      <c r="A247" s="38">
        <v>36129</v>
      </c>
      <c r="B247" s="39" t="s">
        <v>100</v>
      </c>
      <c r="C247" s="40" t="s">
        <v>101</v>
      </c>
      <c r="D247" s="40" t="s">
        <v>911</v>
      </c>
      <c r="E247" s="17"/>
      <c r="F247" s="16">
        <f t="shared" si="0"/>
        <v>0</v>
      </c>
      <c r="G247" s="17"/>
      <c r="H247" s="16">
        <f t="shared" si="1"/>
        <v>0</v>
      </c>
      <c r="I247" s="16"/>
      <c r="J247" s="16">
        <f t="shared" si="6"/>
        <v>0</v>
      </c>
      <c r="K247" s="16"/>
      <c r="L247" s="16">
        <f t="shared" si="7"/>
        <v>0</v>
      </c>
      <c r="M247" s="16"/>
      <c r="N247" s="16">
        <f t="shared" si="8"/>
        <v>0</v>
      </c>
      <c r="O247" s="16"/>
      <c r="P247" s="16">
        <f t="shared" si="9"/>
        <v>0</v>
      </c>
      <c r="Q247" s="16"/>
      <c r="R247" s="16">
        <f t="shared" si="29"/>
        <v>0</v>
      </c>
      <c r="S247" s="16"/>
      <c r="T247" s="16">
        <f t="shared" si="30"/>
        <v>0</v>
      </c>
      <c r="U247" s="16"/>
      <c r="V247" s="16">
        <f t="shared" si="31"/>
        <v>0</v>
      </c>
      <c r="W247" s="16"/>
      <c r="X247" s="16"/>
      <c r="Y247" s="16"/>
      <c r="Z247" s="16">
        <f t="shared" si="13"/>
        <v>0</v>
      </c>
      <c r="AA247" s="16"/>
      <c r="AB247" s="16">
        <f t="shared" si="14"/>
        <v>0</v>
      </c>
      <c r="AC247" s="16"/>
      <c r="AD247" s="16">
        <f t="shared" si="32"/>
        <v>0</v>
      </c>
      <c r="AE247" s="16"/>
      <c r="AF247" s="16">
        <f t="shared" si="33"/>
        <v>0</v>
      </c>
      <c r="AG247" s="16"/>
      <c r="AH247" s="16">
        <f t="shared" si="34"/>
        <v>0</v>
      </c>
      <c r="AI247" s="16"/>
      <c r="AJ247" s="16">
        <f t="shared" si="18"/>
        <v>0</v>
      </c>
      <c r="AK247" s="16"/>
      <c r="AL247" s="16">
        <f t="shared" si="35"/>
        <v>0</v>
      </c>
      <c r="AM247" s="16"/>
      <c r="AN247" s="16">
        <f t="shared" si="2"/>
        <v>0</v>
      </c>
      <c r="AO247" s="16"/>
      <c r="AP247" s="16">
        <f t="shared" si="36"/>
        <v>0</v>
      </c>
      <c r="AQ247" s="16"/>
      <c r="AR247" s="16">
        <f t="shared" si="21"/>
        <v>0</v>
      </c>
      <c r="AS247" s="16"/>
      <c r="AT247" s="16">
        <f t="shared" si="22"/>
        <v>0</v>
      </c>
      <c r="AU247" s="16"/>
      <c r="AV247" s="16">
        <f t="shared" si="37"/>
        <v>0</v>
      </c>
      <c r="AW247" s="16"/>
      <c r="AX247" s="16">
        <f t="shared" si="38"/>
        <v>0</v>
      </c>
      <c r="AY247" s="16"/>
      <c r="AZ247" s="16">
        <f t="shared" si="24"/>
        <v>0</v>
      </c>
      <c r="BA247" s="16"/>
      <c r="BB247" s="16">
        <f t="shared" si="25"/>
        <v>0</v>
      </c>
      <c r="BC247" s="11">
        <f t="shared" si="39"/>
        <v>0</v>
      </c>
      <c r="BD247" s="17"/>
      <c r="BE247" s="17"/>
      <c r="BF247" s="17"/>
      <c r="BG247" s="16">
        <f t="shared" si="40"/>
        <v>0</v>
      </c>
      <c r="BH247" s="17">
        <v>51</v>
      </c>
      <c r="BI247" s="17">
        <v>348452.4</v>
      </c>
    </row>
    <row r="248" spans="1:62" ht="84.75">
      <c r="A248" s="38">
        <v>36120</v>
      </c>
      <c r="B248" s="39" t="s">
        <v>49</v>
      </c>
      <c r="C248" s="40" t="s">
        <v>440</v>
      </c>
      <c r="D248" s="40" t="s">
        <v>891</v>
      </c>
      <c r="E248" s="17">
        <v>51</v>
      </c>
      <c r="F248" s="16">
        <f>+E248*394.4</f>
        <v>20114.399999999998</v>
      </c>
      <c r="G248" s="17">
        <v>34</v>
      </c>
      <c r="H248" s="16">
        <f>+G248*487.2</f>
        <v>16564.8</v>
      </c>
      <c r="I248" s="16">
        <v>17</v>
      </c>
      <c r="J248" s="16">
        <f>+I248*4454.4</f>
        <v>75724.79999999999</v>
      </c>
      <c r="K248" s="16"/>
      <c r="L248" s="16">
        <f>+K248*4080</f>
        <v>0</v>
      </c>
      <c r="M248" s="16">
        <v>51</v>
      </c>
      <c r="N248" s="16">
        <f>+M248*7666</f>
        <v>390966</v>
      </c>
      <c r="O248" s="16"/>
      <c r="P248" s="16">
        <f t="shared" si="9"/>
        <v>0</v>
      </c>
      <c r="Q248" s="16">
        <v>51</v>
      </c>
      <c r="R248" s="16">
        <f t="shared" si="29"/>
        <v>1419840</v>
      </c>
      <c r="S248" s="16">
        <v>17</v>
      </c>
      <c r="T248" s="16">
        <f>+S248*1682</f>
        <v>28594</v>
      </c>
      <c r="U248" s="16">
        <v>17</v>
      </c>
      <c r="V248" s="16">
        <f>+U248*1577.6</f>
        <v>26819.199999999997</v>
      </c>
      <c r="W248" s="16">
        <v>51</v>
      </c>
      <c r="X248" s="16">
        <f>+W248*730.8</f>
        <v>37270.799999999996</v>
      </c>
      <c r="Y248" s="16">
        <v>17</v>
      </c>
      <c r="Z248" s="16">
        <f t="shared" si="13"/>
        <v>100079</v>
      </c>
      <c r="AA248" s="16"/>
      <c r="AB248" s="16">
        <f>+AA248*15618.2</f>
        <v>0</v>
      </c>
      <c r="AC248" s="16">
        <v>17</v>
      </c>
      <c r="AD248" s="16">
        <f>+AC248*649.6</f>
        <v>11043.2</v>
      </c>
      <c r="AE248" s="16"/>
      <c r="AF248" s="16">
        <f t="shared" si="33"/>
        <v>0</v>
      </c>
      <c r="AG248" s="16">
        <v>17</v>
      </c>
      <c r="AH248" s="16">
        <f>+AG248*6008.8</f>
        <v>102149.6</v>
      </c>
      <c r="AI248" s="16">
        <v>34</v>
      </c>
      <c r="AJ248" s="16">
        <f>+AI248*174</f>
        <v>5916</v>
      </c>
      <c r="AK248" s="16">
        <v>17</v>
      </c>
      <c r="AL248" s="16">
        <f>+AK248*58</f>
        <v>986</v>
      </c>
      <c r="AM248" s="16"/>
      <c r="AN248" s="16">
        <f>+AM248*185020</f>
        <v>0</v>
      </c>
      <c r="AO248" s="16">
        <v>51</v>
      </c>
      <c r="AP248" s="16">
        <f>+AO248*515</f>
        <v>26265</v>
      </c>
      <c r="AQ248" s="16"/>
      <c r="AR248" s="16">
        <f t="shared" si="21"/>
        <v>0</v>
      </c>
      <c r="AS248" s="16">
        <v>51</v>
      </c>
      <c r="AT248" s="16">
        <f>+AS248*324.8</f>
        <v>16564.8</v>
      </c>
      <c r="AU248" s="16">
        <v>51</v>
      </c>
      <c r="AV248" s="16">
        <f t="shared" si="37"/>
        <v>499902</v>
      </c>
      <c r="AW248" s="16"/>
      <c r="AX248" s="16">
        <f t="shared" si="38"/>
        <v>0</v>
      </c>
      <c r="AY248" s="16">
        <v>17</v>
      </c>
      <c r="AZ248" s="16">
        <f t="shared" si="24"/>
        <v>54902.01</v>
      </c>
      <c r="BA248" s="16"/>
      <c r="BB248" s="16">
        <f>+BA248*7540</f>
        <v>0</v>
      </c>
      <c r="BC248" s="11">
        <f t="shared" si="39"/>
        <v>2833701.61</v>
      </c>
      <c r="BD248" s="17"/>
      <c r="BE248" s="17"/>
      <c r="BF248" s="17">
        <v>17</v>
      </c>
      <c r="BG248" s="16">
        <f>+BF248*20732</f>
        <v>352444</v>
      </c>
      <c r="BH248" s="17"/>
      <c r="BI248" s="17"/>
      <c r="BJ248" s="91" t="s">
        <v>191</v>
      </c>
    </row>
    <row r="249" spans="1:61" ht="12.75">
      <c r="A249" s="38">
        <v>36120</v>
      </c>
      <c r="B249" s="39" t="s">
        <v>49</v>
      </c>
      <c r="C249" s="40" t="s">
        <v>427</v>
      </c>
      <c r="D249" s="40" t="s">
        <v>821</v>
      </c>
      <c r="E249" s="17">
        <v>81</v>
      </c>
      <c r="F249" s="16">
        <f aca="true" t="shared" si="41" ref="F249:F283">+E249*394.4</f>
        <v>31946.399999999998</v>
      </c>
      <c r="G249" s="17">
        <v>54</v>
      </c>
      <c r="H249" s="16">
        <f aca="true" t="shared" si="42" ref="H249:H283">+G249*487.2</f>
        <v>26308.8</v>
      </c>
      <c r="I249" s="16">
        <v>27</v>
      </c>
      <c r="J249" s="16">
        <f aca="true" t="shared" si="43" ref="J249:J283">+I249*4454.4</f>
        <v>120268.79999999999</v>
      </c>
      <c r="K249" s="16"/>
      <c r="L249" s="16">
        <f aca="true" t="shared" si="44" ref="L249:L283">+K249*4080</f>
        <v>0</v>
      </c>
      <c r="M249" s="16">
        <v>81</v>
      </c>
      <c r="N249" s="16">
        <f aca="true" t="shared" si="45" ref="N249:N283">+M249*7666</f>
        <v>620946</v>
      </c>
      <c r="O249" s="16"/>
      <c r="P249" s="16">
        <f t="shared" si="9"/>
        <v>0</v>
      </c>
      <c r="Q249" s="16">
        <v>81</v>
      </c>
      <c r="R249" s="16">
        <f t="shared" si="29"/>
        <v>2255040</v>
      </c>
      <c r="S249" s="16">
        <v>27</v>
      </c>
      <c r="T249" s="16">
        <f aca="true" t="shared" si="46" ref="T249:T283">+S249*1682</f>
        <v>45414</v>
      </c>
      <c r="U249" s="16">
        <v>27</v>
      </c>
      <c r="V249" s="16">
        <f aca="true" t="shared" si="47" ref="V249:V283">+U249*1577.6</f>
        <v>42595.2</v>
      </c>
      <c r="W249" s="16">
        <v>81</v>
      </c>
      <c r="X249" s="16">
        <f aca="true" t="shared" si="48" ref="X249:X283">+W249*730.8</f>
        <v>59194.799999999996</v>
      </c>
      <c r="Y249" s="16">
        <v>27</v>
      </c>
      <c r="Z249" s="16">
        <f t="shared" si="13"/>
        <v>158949</v>
      </c>
      <c r="AA249" s="16"/>
      <c r="AB249" s="16">
        <f aca="true" t="shared" si="49" ref="AB249:AB283">+AA249*15618.2</f>
        <v>0</v>
      </c>
      <c r="AC249" s="16">
        <v>27</v>
      </c>
      <c r="AD249" s="16">
        <f aca="true" t="shared" si="50" ref="AD249:AD283">+AC249*649.6</f>
        <v>17539.2</v>
      </c>
      <c r="AE249" s="16"/>
      <c r="AF249" s="16">
        <f t="shared" si="33"/>
        <v>0</v>
      </c>
      <c r="AG249" s="16">
        <v>27</v>
      </c>
      <c r="AH249" s="16">
        <f aca="true" t="shared" si="51" ref="AH249:AH283">+AG249*6008.8</f>
        <v>162237.6</v>
      </c>
      <c r="AI249" s="16">
        <v>54</v>
      </c>
      <c r="AJ249" s="16">
        <f aca="true" t="shared" si="52" ref="AJ249:AJ283">+AI249*174</f>
        <v>9396</v>
      </c>
      <c r="AK249" s="16">
        <v>27</v>
      </c>
      <c r="AL249" s="16">
        <f aca="true" t="shared" si="53" ref="AL249:AL283">+AK249*58</f>
        <v>1566</v>
      </c>
      <c r="AM249" s="16"/>
      <c r="AN249" s="16">
        <f aca="true" t="shared" si="54" ref="AN249:AN283">+AM249*185020</f>
        <v>0</v>
      </c>
      <c r="AO249" s="16">
        <v>81</v>
      </c>
      <c r="AP249" s="16">
        <f aca="true" t="shared" si="55" ref="AP249:AP283">+AO249*515</f>
        <v>41715</v>
      </c>
      <c r="AQ249" s="16"/>
      <c r="AR249" s="16">
        <f t="shared" si="21"/>
        <v>0</v>
      </c>
      <c r="AS249" s="16">
        <v>81</v>
      </c>
      <c r="AT249" s="16">
        <f aca="true" t="shared" si="56" ref="AT249:AT283">+AS249*324.8</f>
        <v>26308.8</v>
      </c>
      <c r="AU249" s="16">
        <v>81</v>
      </c>
      <c r="AV249" s="16">
        <f t="shared" si="37"/>
        <v>793962</v>
      </c>
      <c r="AW249" s="16"/>
      <c r="AX249" s="16">
        <f t="shared" si="38"/>
        <v>0</v>
      </c>
      <c r="AY249" s="16">
        <v>27</v>
      </c>
      <c r="AZ249" s="16">
        <f t="shared" si="24"/>
        <v>87197.31000000001</v>
      </c>
      <c r="BA249" s="16"/>
      <c r="BB249" s="16">
        <f aca="true" t="shared" si="57" ref="BB249:BB283">+BA249*7540</f>
        <v>0</v>
      </c>
      <c r="BC249" s="11">
        <f t="shared" si="39"/>
        <v>4500584.909999999</v>
      </c>
      <c r="BD249" s="17"/>
      <c r="BE249" s="17"/>
      <c r="BF249" s="17">
        <v>27</v>
      </c>
      <c r="BG249" s="16">
        <f>+BF249*20732</f>
        <v>559764</v>
      </c>
      <c r="BH249" s="17"/>
      <c r="BI249" s="17"/>
    </row>
    <row r="250" spans="1:61" ht="12.75">
      <c r="A250" s="38">
        <v>36129</v>
      </c>
      <c r="B250" s="39" t="s">
        <v>49</v>
      </c>
      <c r="C250" s="40" t="s">
        <v>4</v>
      </c>
      <c r="D250" s="40" t="s">
        <v>891</v>
      </c>
      <c r="E250" s="17">
        <v>180</v>
      </c>
      <c r="F250" s="16">
        <f t="shared" si="41"/>
        <v>70992</v>
      </c>
      <c r="G250" s="17">
        <v>120</v>
      </c>
      <c r="H250" s="16">
        <f t="shared" si="42"/>
        <v>58464</v>
      </c>
      <c r="I250" s="16">
        <v>60</v>
      </c>
      <c r="J250" s="16">
        <f t="shared" si="43"/>
        <v>267264</v>
      </c>
      <c r="K250" s="16"/>
      <c r="L250" s="16">
        <f t="shared" si="44"/>
        <v>0</v>
      </c>
      <c r="M250" s="16">
        <v>180</v>
      </c>
      <c r="N250" s="16">
        <f t="shared" si="45"/>
        <v>1379880</v>
      </c>
      <c r="O250" s="16"/>
      <c r="P250" s="16">
        <f t="shared" si="9"/>
        <v>0</v>
      </c>
      <c r="Q250" s="16">
        <v>180</v>
      </c>
      <c r="R250" s="16">
        <f t="shared" si="29"/>
        <v>5011200</v>
      </c>
      <c r="S250" s="16">
        <v>60</v>
      </c>
      <c r="T250" s="16">
        <f t="shared" si="46"/>
        <v>100920</v>
      </c>
      <c r="U250" s="16">
        <v>60</v>
      </c>
      <c r="V250" s="16">
        <f t="shared" si="47"/>
        <v>94656</v>
      </c>
      <c r="W250" s="16">
        <v>180</v>
      </c>
      <c r="X250" s="16">
        <f t="shared" si="48"/>
        <v>131544</v>
      </c>
      <c r="Y250" s="16">
        <v>60</v>
      </c>
      <c r="Z250" s="16">
        <f t="shared" si="13"/>
        <v>353220</v>
      </c>
      <c r="AA250" s="16"/>
      <c r="AB250" s="16">
        <f t="shared" si="49"/>
        <v>0</v>
      </c>
      <c r="AC250" s="16">
        <v>60</v>
      </c>
      <c r="AD250" s="16">
        <f t="shared" si="50"/>
        <v>38976</v>
      </c>
      <c r="AE250" s="16"/>
      <c r="AF250" s="16">
        <f t="shared" si="33"/>
        <v>0</v>
      </c>
      <c r="AG250" s="16">
        <v>60</v>
      </c>
      <c r="AH250" s="16">
        <f t="shared" si="51"/>
        <v>360528</v>
      </c>
      <c r="AI250" s="16">
        <v>120</v>
      </c>
      <c r="AJ250" s="16">
        <f t="shared" si="52"/>
        <v>20880</v>
      </c>
      <c r="AK250" s="16">
        <v>60</v>
      </c>
      <c r="AL250" s="16">
        <f t="shared" si="53"/>
        <v>3480</v>
      </c>
      <c r="AM250" s="16"/>
      <c r="AN250" s="16">
        <f t="shared" si="54"/>
        <v>0</v>
      </c>
      <c r="AO250" s="16">
        <v>180</v>
      </c>
      <c r="AP250" s="16">
        <f t="shared" si="55"/>
        <v>92700</v>
      </c>
      <c r="AQ250" s="16"/>
      <c r="AR250" s="16">
        <f t="shared" si="21"/>
        <v>0</v>
      </c>
      <c r="AS250" s="16">
        <v>180</v>
      </c>
      <c r="AT250" s="16">
        <f t="shared" si="56"/>
        <v>58464</v>
      </c>
      <c r="AU250" s="16">
        <v>180</v>
      </c>
      <c r="AV250" s="16">
        <f t="shared" si="37"/>
        <v>1764360</v>
      </c>
      <c r="AW250" s="16"/>
      <c r="AX250" s="16">
        <f t="shared" si="38"/>
        <v>0</v>
      </c>
      <c r="AY250" s="16">
        <v>60</v>
      </c>
      <c r="AZ250" s="16">
        <f t="shared" si="24"/>
        <v>193771.80000000002</v>
      </c>
      <c r="BA250" s="16"/>
      <c r="BB250" s="16">
        <f t="shared" si="57"/>
        <v>0</v>
      </c>
      <c r="BC250" s="11">
        <f t="shared" si="39"/>
        <v>10001299.8</v>
      </c>
      <c r="BD250" s="17"/>
      <c r="BE250" s="17"/>
      <c r="BF250" s="17">
        <v>60</v>
      </c>
      <c r="BG250" s="16">
        <f>+BF250*20732</f>
        <v>1243920</v>
      </c>
      <c r="BH250" s="17">
        <v>400</v>
      </c>
      <c r="BI250" s="17">
        <f>400*5890*1.16</f>
        <v>2732960</v>
      </c>
    </row>
    <row r="251" spans="1:61" ht="12.75">
      <c r="A251" s="38">
        <v>36106</v>
      </c>
      <c r="B251" s="39" t="s">
        <v>100</v>
      </c>
      <c r="C251" s="40" t="s">
        <v>613</v>
      </c>
      <c r="D251" s="40" t="s">
        <v>821</v>
      </c>
      <c r="E251" s="17"/>
      <c r="F251" s="16">
        <f t="shared" si="41"/>
        <v>0</v>
      </c>
      <c r="G251" s="17"/>
      <c r="H251" s="16">
        <f t="shared" si="42"/>
        <v>0</v>
      </c>
      <c r="I251" s="16"/>
      <c r="J251" s="16">
        <f t="shared" si="43"/>
        <v>0</v>
      </c>
      <c r="K251" s="16"/>
      <c r="L251" s="16">
        <f t="shared" si="44"/>
        <v>0</v>
      </c>
      <c r="M251" s="16"/>
      <c r="N251" s="16">
        <f t="shared" si="45"/>
        <v>0</v>
      </c>
      <c r="O251" s="16"/>
      <c r="P251" s="16">
        <f t="shared" si="9"/>
        <v>0</v>
      </c>
      <c r="Q251" s="16"/>
      <c r="R251" s="16">
        <f t="shared" si="29"/>
        <v>0</v>
      </c>
      <c r="S251" s="16"/>
      <c r="T251" s="16">
        <f t="shared" si="46"/>
        <v>0</v>
      </c>
      <c r="U251" s="16"/>
      <c r="V251" s="16">
        <f t="shared" si="47"/>
        <v>0</v>
      </c>
      <c r="W251" s="16"/>
      <c r="X251" s="16">
        <f t="shared" si="48"/>
        <v>0</v>
      </c>
      <c r="Y251" s="16"/>
      <c r="Z251" s="16">
        <f t="shared" si="13"/>
        <v>0</v>
      </c>
      <c r="AA251" s="16"/>
      <c r="AB251" s="16">
        <f t="shared" si="49"/>
        <v>0</v>
      </c>
      <c r="AC251" s="16"/>
      <c r="AD251" s="16">
        <f t="shared" si="50"/>
        <v>0</v>
      </c>
      <c r="AE251" s="16"/>
      <c r="AF251" s="16">
        <f t="shared" si="33"/>
        <v>0</v>
      </c>
      <c r="AG251" s="16"/>
      <c r="AH251" s="16">
        <f t="shared" si="51"/>
        <v>0</v>
      </c>
      <c r="AI251" s="16"/>
      <c r="AJ251" s="16">
        <f t="shared" si="52"/>
        <v>0</v>
      </c>
      <c r="AK251" s="16"/>
      <c r="AL251" s="16">
        <f t="shared" si="53"/>
        <v>0</v>
      </c>
      <c r="AM251" s="16"/>
      <c r="AN251" s="16">
        <f t="shared" si="54"/>
        <v>0</v>
      </c>
      <c r="AO251" s="16"/>
      <c r="AP251" s="16">
        <f t="shared" si="55"/>
        <v>0</v>
      </c>
      <c r="AQ251" s="16"/>
      <c r="AR251" s="16">
        <f t="shared" si="21"/>
        <v>0</v>
      </c>
      <c r="AS251" s="16"/>
      <c r="AT251" s="16">
        <f t="shared" si="56"/>
        <v>0</v>
      </c>
      <c r="AU251" s="16"/>
      <c r="AV251" s="16">
        <f t="shared" si="37"/>
        <v>0</v>
      </c>
      <c r="AW251" s="16"/>
      <c r="AX251" s="16">
        <f t="shared" si="38"/>
        <v>0</v>
      </c>
      <c r="AY251" s="16"/>
      <c r="AZ251" s="16">
        <f t="shared" si="24"/>
        <v>0</v>
      </c>
      <c r="BA251" s="16"/>
      <c r="BB251" s="16">
        <f t="shared" si="57"/>
        <v>0</v>
      </c>
      <c r="BC251" s="11">
        <f t="shared" si="39"/>
        <v>0</v>
      </c>
      <c r="BD251" s="17"/>
      <c r="BE251" s="17"/>
      <c r="BF251" s="17"/>
      <c r="BG251" s="16">
        <f t="shared" si="40"/>
        <v>0</v>
      </c>
      <c r="BH251" s="17">
        <v>500</v>
      </c>
      <c r="BI251" s="17">
        <f>500*5890*1.16</f>
        <v>3416199.9999999995</v>
      </c>
    </row>
    <row r="252" spans="1:61" ht="12.75">
      <c r="A252" s="38">
        <v>36129</v>
      </c>
      <c r="B252" s="39" t="s">
        <v>882</v>
      </c>
      <c r="C252" s="40" t="s">
        <v>308</v>
      </c>
      <c r="D252" s="40" t="s">
        <v>821</v>
      </c>
      <c r="E252" s="17"/>
      <c r="F252" s="16">
        <f t="shared" si="41"/>
        <v>0</v>
      </c>
      <c r="G252" s="17"/>
      <c r="H252" s="16">
        <f t="shared" si="42"/>
        <v>0</v>
      </c>
      <c r="I252" s="16"/>
      <c r="J252" s="16">
        <f t="shared" si="43"/>
        <v>0</v>
      </c>
      <c r="K252" s="16"/>
      <c r="L252" s="16">
        <f t="shared" si="44"/>
        <v>0</v>
      </c>
      <c r="M252" s="16"/>
      <c r="N252" s="16">
        <f t="shared" si="45"/>
        <v>0</v>
      </c>
      <c r="O252" s="16"/>
      <c r="P252" s="16">
        <f aca="true" t="shared" si="58" ref="P252:P283">+O252*20822</f>
        <v>0</v>
      </c>
      <c r="Q252" s="16"/>
      <c r="R252" s="16">
        <f t="shared" si="29"/>
        <v>0</v>
      </c>
      <c r="S252" s="16"/>
      <c r="T252" s="16">
        <f t="shared" si="46"/>
        <v>0</v>
      </c>
      <c r="U252" s="16"/>
      <c r="V252" s="16">
        <f t="shared" si="47"/>
        <v>0</v>
      </c>
      <c r="W252" s="16"/>
      <c r="X252" s="16">
        <f t="shared" si="48"/>
        <v>0</v>
      </c>
      <c r="Y252" s="16"/>
      <c r="Z252" s="16">
        <f aca="true" t="shared" si="59" ref="Z252:Z283">+Y252*5887</f>
        <v>0</v>
      </c>
      <c r="AA252" s="16"/>
      <c r="AB252" s="16">
        <f t="shared" si="49"/>
        <v>0</v>
      </c>
      <c r="AC252" s="16"/>
      <c r="AD252" s="16">
        <f t="shared" si="50"/>
        <v>0</v>
      </c>
      <c r="AE252" s="16"/>
      <c r="AF252" s="16">
        <f t="shared" si="33"/>
        <v>0</v>
      </c>
      <c r="AG252" s="16"/>
      <c r="AH252" s="16">
        <f t="shared" si="51"/>
        <v>0</v>
      </c>
      <c r="AI252" s="16"/>
      <c r="AJ252" s="16">
        <f t="shared" si="52"/>
        <v>0</v>
      </c>
      <c r="AK252" s="16"/>
      <c r="AL252" s="16">
        <f t="shared" si="53"/>
        <v>0</v>
      </c>
      <c r="AM252" s="16"/>
      <c r="AN252" s="16">
        <f t="shared" si="54"/>
        <v>0</v>
      </c>
      <c r="AO252" s="16"/>
      <c r="AP252" s="16">
        <f t="shared" si="55"/>
        <v>0</v>
      </c>
      <c r="AQ252" s="16"/>
      <c r="AR252" s="16">
        <f aca="true" t="shared" si="60" ref="AR252:AR283">+AQ252*324.8</f>
        <v>0</v>
      </c>
      <c r="AS252" s="16"/>
      <c r="AT252" s="16">
        <f t="shared" si="56"/>
        <v>0</v>
      </c>
      <c r="AU252" s="16"/>
      <c r="AV252" s="16">
        <f t="shared" si="37"/>
        <v>0</v>
      </c>
      <c r="AW252" s="16"/>
      <c r="AX252" s="16">
        <f t="shared" si="38"/>
        <v>0</v>
      </c>
      <c r="AY252" s="16"/>
      <c r="AZ252" s="16">
        <f aca="true" t="shared" si="61" ref="AZ252:AZ283">+AY252*3229.53</f>
        <v>0</v>
      </c>
      <c r="BA252" s="16"/>
      <c r="BB252" s="16">
        <f t="shared" si="57"/>
        <v>0</v>
      </c>
      <c r="BC252" s="11">
        <f t="shared" si="39"/>
        <v>0</v>
      </c>
      <c r="BD252" s="17"/>
      <c r="BE252" s="17"/>
      <c r="BF252" s="17">
        <v>700</v>
      </c>
      <c r="BG252" s="16">
        <f>+BF252*21632</f>
        <v>15142400</v>
      </c>
      <c r="BH252" s="17"/>
      <c r="BI252" s="17"/>
    </row>
    <row r="253" spans="1:61" ht="12.75">
      <c r="A253" s="38">
        <v>36131</v>
      </c>
      <c r="B253" s="39" t="s">
        <v>49</v>
      </c>
      <c r="C253" s="40" t="s">
        <v>54</v>
      </c>
      <c r="D253" s="40" t="s">
        <v>821</v>
      </c>
      <c r="E253" s="17">
        <v>696</v>
      </c>
      <c r="F253" s="16">
        <f t="shared" si="41"/>
        <v>274502.39999999997</v>
      </c>
      <c r="G253" s="17">
        <v>696</v>
      </c>
      <c r="H253" s="16">
        <f t="shared" si="42"/>
        <v>339091.2</v>
      </c>
      <c r="I253" s="16">
        <v>348</v>
      </c>
      <c r="J253" s="16">
        <f t="shared" si="43"/>
        <v>1550131.2</v>
      </c>
      <c r="K253" s="16"/>
      <c r="L253" s="16">
        <f t="shared" si="44"/>
        <v>0</v>
      </c>
      <c r="M253" s="16"/>
      <c r="N253" s="16">
        <f t="shared" si="45"/>
        <v>0</v>
      </c>
      <c r="O253" s="16"/>
      <c r="P253" s="16">
        <f t="shared" si="58"/>
        <v>0</v>
      </c>
      <c r="Q253" s="16">
        <v>1044</v>
      </c>
      <c r="R253" s="16">
        <f t="shared" si="29"/>
        <v>29064960</v>
      </c>
      <c r="S253" s="16">
        <v>348</v>
      </c>
      <c r="T253" s="16">
        <f t="shared" si="46"/>
        <v>585336</v>
      </c>
      <c r="U253" s="16">
        <v>348</v>
      </c>
      <c r="V253" s="16">
        <f t="shared" si="47"/>
        <v>549004.7999999999</v>
      </c>
      <c r="W253" s="16">
        <v>1044</v>
      </c>
      <c r="X253" s="16">
        <f t="shared" si="48"/>
        <v>762955.2</v>
      </c>
      <c r="Y253" s="16">
        <v>348</v>
      </c>
      <c r="Z253" s="16">
        <f t="shared" si="59"/>
        <v>2048676</v>
      </c>
      <c r="AA253" s="16"/>
      <c r="AB253" s="16">
        <f t="shared" si="49"/>
        <v>0</v>
      </c>
      <c r="AC253" s="16">
        <v>348</v>
      </c>
      <c r="AD253" s="16">
        <f t="shared" si="50"/>
        <v>226060.80000000002</v>
      </c>
      <c r="AE253" s="16"/>
      <c r="AF253" s="16">
        <f t="shared" si="33"/>
        <v>0</v>
      </c>
      <c r="AG253" s="16">
        <v>348</v>
      </c>
      <c r="AH253" s="16">
        <f t="shared" si="51"/>
        <v>2091062.4000000001</v>
      </c>
      <c r="AI253" s="16">
        <v>696</v>
      </c>
      <c r="AJ253" s="16">
        <f t="shared" si="52"/>
        <v>121104</v>
      </c>
      <c r="AK253" s="16">
        <v>348</v>
      </c>
      <c r="AL253" s="16">
        <f t="shared" si="53"/>
        <v>20184</v>
      </c>
      <c r="AM253" s="16"/>
      <c r="AN253" s="16">
        <f t="shared" si="54"/>
        <v>0</v>
      </c>
      <c r="AO253" s="16">
        <v>1044</v>
      </c>
      <c r="AP253" s="16">
        <f t="shared" si="55"/>
        <v>537660</v>
      </c>
      <c r="AQ253" s="16"/>
      <c r="AR253" s="16">
        <f t="shared" si="60"/>
        <v>0</v>
      </c>
      <c r="AS253" s="16">
        <v>1044</v>
      </c>
      <c r="AT253" s="16">
        <f t="shared" si="56"/>
        <v>339091.2</v>
      </c>
      <c r="AU253" s="16">
        <v>1044</v>
      </c>
      <c r="AV253" s="16">
        <f t="shared" si="37"/>
        <v>10233288</v>
      </c>
      <c r="AW253" s="16"/>
      <c r="AX253" s="16">
        <f t="shared" si="38"/>
        <v>0</v>
      </c>
      <c r="AY253" s="16">
        <v>348</v>
      </c>
      <c r="AZ253" s="16">
        <f t="shared" si="61"/>
        <v>1123876.4400000002</v>
      </c>
      <c r="BA253" s="16"/>
      <c r="BB253" s="16">
        <f t="shared" si="57"/>
        <v>0</v>
      </c>
      <c r="BC253" s="11">
        <f t="shared" si="39"/>
        <v>49866983.63999999</v>
      </c>
      <c r="BD253" s="17"/>
      <c r="BE253" s="17"/>
      <c r="BF253" s="17">
        <v>348</v>
      </c>
      <c r="BG253" s="16">
        <f>+BF253*20732</f>
        <v>7214736</v>
      </c>
      <c r="BH253" s="17">
        <v>1000</v>
      </c>
      <c r="BI253" s="17">
        <f>1000*5890*1.16</f>
        <v>6832399.999999999</v>
      </c>
    </row>
    <row r="254" spans="1:61" ht="12.75">
      <c r="A254" s="38">
        <v>36108</v>
      </c>
      <c r="B254" s="39" t="s">
        <v>100</v>
      </c>
      <c r="C254" s="40" t="s">
        <v>189</v>
      </c>
      <c r="D254" s="40" t="s">
        <v>821</v>
      </c>
      <c r="E254" s="17"/>
      <c r="F254" s="16">
        <f t="shared" si="41"/>
        <v>0</v>
      </c>
      <c r="G254" s="17"/>
      <c r="H254" s="16">
        <f t="shared" si="42"/>
        <v>0</v>
      </c>
      <c r="I254" s="16">
        <v>300</v>
      </c>
      <c r="J254" s="16">
        <f t="shared" si="43"/>
        <v>1336320</v>
      </c>
      <c r="K254" s="16"/>
      <c r="L254" s="16">
        <f t="shared" si="44"/>
        <v>0</v>
      </c>
      <c r="M254" s="16"/>
      <c r="N254" s="16">
        <f t="shared" si="45"/>
        <v>0</v>
      </c>
      <c r="O254" s="16"/>
      <c r="P254" s="16">
        <f t="shared" si="58"/>
        <v>0</v>
      </c>
      <c r="Q254" s="16">
        <v>300</v>
      </c>
      <c r="R254" s="16">
        <f t="shared" si="29"/>
        <v>8352000</v>
      </c>
      <c r="S254" s="16"/>
      <c r="T254" s="16">
        <f t="shared" si="46"/>
        <v>0</v>
      </c>
      <c r="U254" s="16"/>
      <c r="V254" s="16">
        <f t="shared" si="47"/>
        <v>0</v>
      </c>
      <c r="W254" s="16">
        <v>900</v>
      </c>
      <c r="X254" s="16">
        <f t="shared" si="48"/>
        <v>657720</v>
      </c>
      <c r="Y254" s="16">
        <v>300</v>
      </c>
      <c r="Z254" s="16">
        <f t="shared" si="59"/>
        <v>1766100</v>
      </c>
      <c r="AA254" s="16"/>
      <c r="AB254" s="16">
        <f t="shared" si="49"/>
        <v>0</v>
      </c>
      <c r="AC254" s="16"/>
      <c r="AD254" s="16">
        <f t="shared" si="50"/>
        <v>0</v>
      </c>
      <c r="AE254" s="16"/>
      <c r="AF254" s="16">
        <f t="shared" si="33"/>
        <v>0</v>
      </c>
      <c r="AG254" s="16">
        <v>300</v>
      </c>
      <c r="AH254" s="16">
        <f t="shared" si="51"/>
        <v>1802640</v>
      </c>
      <c r="AI254" s="16"/>
      <c r="AJ254" s="16">
        <f t="shared" si="52"/>
        <v>0</v>
      </c>
      <c r="AK254" s="16"/>
      <c r="AL254" s="16">
        <f t="shared" si="53"/>
        <v>0</v>
      </c>
      <c r="AM254" s="16"/>
      <c r="AN254" s="16">
        <f t="shared" si="54"/>
        <v>0</v>
      </c>
      <c r="AO254" s="16">
        <v>900</v>
      </c>
      <c r="AP254" s="16">
        <f t="shared" si="55"/>
        <v>463500</v>
      </c>
      <c r="AQ254" s="16"/>
      <c r="AR254" s="16">
        <f t="shared" si="60"/>
        <v>0</v>
      </c>
      <c r="AS254" s="16">
        <v>900</v>
      </c>
      <c r="AT254" s="16">
        <f t="shared" si="56"/>
        <v>292320</v>
      </c>
      <c r="AU254" s="16"/>
      <c r="AV254" s="16">
        <f t="shared" si="37"/>
        <v>0</v>
      </c>
      <c r="AW254" s="16"/>
      <c r="AX254" s="16">
        <f t="shared" si="38"/>
        <v>0</v>
      </c>
      <c r="AY254" s="16"/>
      <c r="AZ254" s="16">
        <f t="shared" si="61"/>
        <v>0</v>
      </c>
      <c r="BA254" s="16"/>
      <c r="BB254" s="16">
        <f t="shared" si="57"/>
        <v>0</v>
      </c>
      <c r="BC254" s="11">
        <f t="shared" si="39"/>
        <v>14670600</v>
      </c>
      <c r="BD254" s="17"/>
      <c r="BE254" s="17"/>
      <c r="BF254" s="17">
        <v>130</v>
      </c>
      <c r="BG254" s="16">
        <f>+BF254*20732</f>
        <v>2695160</v>
      </c>
      <c r="BH254" s="17"/>
      <c r="BI254" s="17"/>
    </row>
    <row r="255" spans="1:61" ht="12.75">
      <c r="A255" s="38">
        <v>36134</v>
      </c>
      <c r="B255" s="39" t="s">
        <v>100</v>
      </c>
      <c r="C255" s="40" t="s">
        <v>275</v>
      </c>
      <c r="D255" s="40" t="s">
        <v>821</v>
      </c>
      <c r="E255" s="17">
        <v>144</v>
      </c>
      <c r="F255" s="16">
        <f t="shared" si="41"/>
        <v>56793.6</v>
      </c>
      <c r="G255" s="17">
        <v>96</v>
      </c>
      <c r="H255" s="16">
        <f t="shared" si="42"/>
        <v>46771.2</v>
      </c>
      <c r="I255" s="16">
        <v>48</v>
      </c>
      <c r="J255" s="16">
        <f t="shared" si="43"/>
        <v>213811.19999999998</v>
      </c>
      <c r="K255" s="16"/>
      <c r="L255" s="16">
        <f t="shared" si="44"/>
        <v>0</v>
      </c>
      <c r="M255" s="16"/>
      <c r="N255" s="16">
        <f t="shared" si="45"/>
        <v>0</v>
      </c>
      <c r="O255" s="16"/>
      <c r="P255" s="16">
        <f t="shared" si="58"/>
        <v>0</v>
      </c>
      <c r="Q255" s="16"/>
      <c r="R255" s="16">
        <f t="shared" si="29"/>
        <v>0</v>
      </c>
      <c r="S255" s="16">
        <v>48</v>
      </c>
      <c r="T255" s="16">
        <f t="shared" si="46"/>
        <v>80736</v>
      </c>
      <c r="U255" s="16">
        <v>48</v>
      </c>
      <c r="V255" s="16">
        <f t="shared" si="47"/>
        <v>75724.79999999999</v>
      </c>
      <c r="W255" s="16">
        <v>144</v>
      </c>
      <c r="X255" s="16">
        <f t="shared" si="48"/>
        <v>105235.2</v>
      </c>
      <c r="Y255" s="16">
        <v>48</v>
      </c>
      <c r="Z255" s="16">
        <f t="shared" si="59"/>
        <v>282576</v>
      </c>
      <c r="AA255" s="16"/>
      <c r="AB255" s="16">
        <f t="shared" si="49"/>
        <v>0</v>
      </c>
      <c r="AC255" s="16">
        <v>48</v>
      </c>
      <c r="AD255" s="16">
        <f t="shared" si="50"/>
        <v>31180.800000000003</v>
      </c>
      <c r="AE255" s="16"/>
      <c r="AF255" s="16">
        <f t="shared" si="33"/>
        <v>0</v>
      </c>
      <c r="AG255" s="16">
        <v>48</v>
      </c>
      <c r="AH255" s="16">
        <f t="shared" si="51"/>
        <v>288422.4</v>
      </c>
      <c r="AI255" s="16">
        <v>96</v>
      </c>
      <c r="AJ255" s="16">
        <f t="shared" si="52"/>
        <v>16704</v>
      </c>
      <c r="AK255" s="16">
        <v>48</v>
      </c>
      <c r="AL255" s="16">
        <f t="shared" si="53"/>
        <v>2784</v>
      </c>
      <c r="AM255" s="16"/>
      <c r="AN255" s="16">
        <f t="shared" si="54"/>
        <v>0</v>
      </c>
      <c r="AO255" s="16">
        <v>144</v>
      </c>
      <c r="AP255" s="16">
        <f t="shared" si="55"/>
        <v>74160</v>
      </c>
      <c r="AQ255" s="16"/>
      <c r="AR255" s="16">
        <f t="shared" si="60"/>
        <v>0</v>
      </c>
      <c r="AS255" s="16">
        <v>144</v>
      </c>
      <c r="AT255" s="16">
        <f t="shared" si="56"/>
        <v>46771.200000000004</v>
      </c>
      <c r="AU255" s="16"/>
      <c r="AV255" s="16">
        <f t="shared" si="37"/>
        <v>0</v>
      </c>
      <c r="AW255" s="16"/>
      <c r="AX255" s="16">
        <f t="shared" si="38"/>
        <v>0</v>
      </c>
      <c r="AY255" s="16">
        <v>48</v>
      </c>
      <c r="AZ255" s="16">
        <f t="shared" si="61"/>
        <v>155017.44</v>
      </c>
      <c r="BA255" s="16"/>
      <c r="BB255" s="16">
        <f t="shared" si="57"/>
        <v>0</v>
      </c>
      <c r="BC255" s="11">
        <f t="shared" si="39"/>
        <v>1476687.84</v>
      </c>
      <c r="BD255" s="17"/>
      <c r="BE255" s="17"/>
      <c r="BF255" s="17">
        <v>48</v>
      </c>
      <c r="BG255" s="16">
        <f t="shared" si="40"/>
        <v>1038336</v>
      </c>
      <c r="BH255" s="17"/>
      <c r="BI255" s="17"/>
    </row>
    <row r="256" spans="1:61" ht="12.75">
      <c r="A256" s="38">
        <v>36133</v>
      </c>
      <c r="B256" s="39" t="s">
        <v>49</v>
      </c>
      <c r="C256" s="40" t="s">
        <v>106</v>
      </c>
      <c r="D256" s="40" t="s">
        <v>911</v>
      </c>
      <c r="E256" s="17"/>
      <c r="F256" s="16">
        <f t="shared" si="41"/>
        <v>0</v>
      </c>
      <c r="G256" s="17"/>
      <c r="H256" s="16">
        <f t="shared" si="42"/>
        <v>0</v>
      </c>
      <c r="I256" s="16"/>
      <c r="J256" s="16">
        <f t="shared" si="43"/>
        <v>0</v>
      </c>
      <c r="K256" s="16"/>
      <c r="L256" s="16">
        <f t="shared" si="44"/>
        <v>0</v>
      </c>
      <c r="M256" s="16"/>
      <c r="N256" s="16">
        <f t="shared" si="45"/>
        <v>0</v>
      </c>
      <c r="O256" s="16"/>
      <c r="P256" s="16">
        <f t="shared" si="58"/>
        <v>0</v>
      </c>
      <c r="Q256" s="16"/>
      <c r="R256" s="16">
        <f t="shared" si="29"/>
        <v>0</v>
      </c>
      <c r="S256" s="16"/>
      <c r="T256" s="16">
        <f t="shared" si="46"/>
        <v>0</v>
      </c>
      <c r="U256" s="16"/>
      <c r="V256" s="16">
        <f t="shared" si="47"/>
        <v>0</v>
      </c>
      <c r="W256" s="16"/>
      <c r="X256" s="16">
        <f t="shared" si="48"/>
        <v>0</v>
      </c>
      <c r="Y256" s="16"/>
      <c r="Z256" s="16">
        <f t="shared" si="59"/>
        <v>0</v>
      </c>
      <c r="AA256" s="16"/>
      <c r="AB256" s="16">
        <f t="shared" si="49"/>
        <v>0</v>
      </c>
      <c r="AC256" s="16"/>
      <c r="AD256" s="16">
        <f t="shared" si="50"/>
        <v>0</v>
      </c>
      <c r="AE256" s="16"/>
      <c r="AF256" s="16">
        <f t="shared" si="33"/>
        <v>0</v>
      </c>
      <c r="AG256" s="16"/>
      <c r="AH256" s="16">
        <f t="shared" si="51"/>
        <v>0</v>
      </c>
      <c r="AI256" s="16"/>
      <c r="AJ256" s="16">
        <f t="shared" si="52"/>
        <v>0</v>
      </c>
      <c r="AK256" s="16"/>
      <c r="AL256" s="16">
        <f t="shared" si="53"/>
        <v>0</v>
      </c>
      <c r="AM256" s="16"/>
      <c r="AN256" s="16">
        <f t="shared" si="54"/>
        <v>0</v>
      </c>
      <c r="AO256" s="16"/>
      <c r="AP256" s="16">
        <f t="shared" si="55"/>
        <v>0</v>
      </c>
      <c r="AQ256" s="16"/>
      <c r="AR256" s="16">
        <f t="shared" si="60"/>
        <v>0</v>
      </c>
      <c r="AS256" s="16"/>
      <c r="AT256" s="16">
        <f t="shared" si="56"/>
        <v>0</v>
      </c>
      <c r="AU256" s="16"/>
      <c r="AV256" s="16">
        <f t="shared" si="37"/>
        <v>0</v>
      </c>
      <c r="AW256" s="16"/>
      <c r="AX256" s="16">
        <f t="shared" si="38"/>
        <v>0</v>
      </c>
      <c r="AY256" s="16"/>
      <c r="AZ256" s="16">
        <f t="shared" si="61"/>
        <v>0</v>
      </c>
      <c r="BA256" s="16"/>
      <c r="BB256" s="16">
        <f t="shared" si="57"/>
        <v>0</v>
      </c>
      <c r="BC256" s="11">
        <f t="shared" si="39"/>
        <v>0</v>
      </c>
      <c r="BD256" s="17"/>
      <c r="BE256" s="17"/>
      <c r="BF256" s="17"/>
      <c r="BG256" s="16">
        <f t="shared" si="40"/>
        <v>0</v>
      </c>
      <c r="BH256" s="17">
        <v>200</v>
      </c>
      <c r="BI256" s="17">
        <f>200*5890*1.16</f>
        <v>1366480</v>
      </c>
    </row>
    <row r="257" spans="1:61" ht="12.75">
      <c r="A257" s="38">
        <v>36130</v>
      </c>
      <c r="B257" s="39" t="s">
        <v>49</v>
      </c>
      <c r="C257" s="40" t="s">
        <v>330</v>
      </c>
      <c r="D257" s="40" t="s">
        <v>821</v>
      </c>
      <c r="E257" s="17">
        <v>156</v>
      </c>
      <c r="F257" s="16">
        <f t="shared" si="41"/>
        <v>61526.399999999994</v>
      </c>
      <c r="G257" s="17">
        <v>104</v>
      </c>
      <c r="H257" s="16">
        <f t="shared" si="42"/>
        <v>50668.799999999996</v>
      </c>
      <c r="I257" s="16">
        <v>52</v>
      </c>
      <c r="J257" s="16">
        <f t="shared" si="43"/>
        <v>231628.8</v>
      </c>
      <c r="K257" s="16"/>
      <c r="L257" s="16">
        <f t="shared" si="44"/>
        <v>0</v>
      </c>
      <c r="M257" s="16">
        <v>156</v>
      </c>
      <c r="N257" s="16">
        <f t="shared" si="45"/>
        <v>1195896</v>
      </c>
      <c r="O257" s="16"/>
      <c r="P257" s="16">
        <f t="shared" si="58"/>
        <v>0</v>
      </c>
      <c r="Q257" s="16">
        <v>156</v>
      </c>
      <c r="R257" s="16">
        <f t="shared" si="29"/>
        <v>4343040</v>
      </c>
      <c r="S257" s="16">
        <v>52</v>
      </c>
      <c r="T257" s="16">
        <f t="shared" si="46"/>
        <v>87464</v>
      </c>
      <c r="U257" s="16">
        <v>52</v>
      </c>
      <c r="V257" s="16">
        <f t="shared" si="47"/>
        <v>82035.2</v>
      </c>
      <c r="W257" s="16">
        <v>156</v>
      </c>
      <c r="X257" s="16">
        <f t="shared" si="48"/>
        <v>114004.79999999999</v>
      </c>
      <c r="Y257" s="16">
        <v>52</v>
      </c>
      <c r="Z257" s="16">
        <f t="shared" si="59"/>
        <v>306124</v>
      </c>
      <c r="AA257" s="16"/>
      <c r="AB257" s="16">
        <f t="shared" si="49"/>
        <v>0</v>
      </c>
      <c r="AC257" s="16">
        <v>52</v>
      </c>
      <c r="AD257" s="16">
        <f t="shared" si="50"/>
        <v>33779.200000000004</v>
      </c>
      <c r="AE257" s="16"/>
      <c r="AF257" s="16">
        <f t="shared" si="33"/>
        <v>0</v>
      </c>
      <c r="AG257" s="16">
        <v>52</v>
      </c>
      <c r="AH257" s="16">
        <f t="shared" si="51"/>
        <v>312457.60000000003</v>
      </c>
      <c r="AI257" s="16">
        <v>104</v>
      </c>
      <c r="AJ257" s="16">
        <f t="shared" si="52"/>
        <v>18096</v>
      </c>
      <c r="AK257" s="16">
        <v>52</v>
      </c>
      <c r="AL257" s="16">
        <f t="shared" si="53"/>
        <v>3016</v>
      </c>
      <c r="AM257" s="16"/>
      <c r="AN257" s="16">
        <f t="shared" si="54"/>
        <v>0</v>
      </c>
      <c r="AO257" s="16">
        <v>156</v>
      </c>
      <c r="AP257" s="16">
        <f t="shared" si="55"/>
        <v>80340</v>
      </c>
      <c r="AQ257" s="16"/>
      <c r="AR257" s="16">
        <f t="shared" si="60"/>
        <v>0</v>
      </c>
      <c r="AS257" s="16">
        <v>156</v>
      </c>
      <c r="AT257" s="16">
        <f t="shared" si="56"/>
        <v>50668.8</v>
      </c>
      <c r="AU257" s="16">
        <v>156</v>
      </c>
      <c r="AV257" s="16">
        <f t="shared" si="37"/>
        <v>1529112</v>
      </c>
      <c r="AW257" s="16"/>
      <c r="AX257" s="16">
        <f t="shared" si="38"/>
        <v>0</v>
      </c>
      <c r="AY257" s="16">
        <v>52</v>
      </c>
      <c r="AZ257" s="16">
        <f t="shared" si="61"/>
        <v>167935.56</v>
      </c>
      <c r="BA257" s="16"/>
      <c r="BB257" s="16">
        <f t="shared" si="57"/>
        <v>0</v>
      </c>
      <c r="BC257" s="11">
        <f aca="true" t="shared" si="62" ref="BC257:BC264">SUM(F257+H257+J257+L257+N257+P257+R257+T257+V257+X257+Z257+AB257+AD257+AF257+AH257+AJ257+AL257+AN257+AP257+AR257+AT257+AV257+AX257+AZ257+BB257)</f>
        <v>8667793.16</v>
      </c>
      <c r="BD257" s="17"/>
      <c r="BE257" s="17"/>
      <c r="BF257" s="17">
        <v>52</v>
      </c>
      <c r="BG257" s="16">
        <f t="shared" si="40"/>
        <v>1124864</v>
      </c>
      <c r="BH257" s="17"/>
      <c r="BI257" s="17"/>
    </row>
    <row r="258" spans="1:61" ht="12.75">
      <c r="A258" s="38">
        <v>36137</v>
      </c>
      <c r="B258" s="39" t="s">
        <v>39</v>
      </c>
      <c r="C258" s="40" t="s">
        <v>158</v>
      </c>
      <c r="D258" s="40" t="s">
        <v>821</v>
      </c>
      <c r="E258" s="17">
        <v>843</v>
      </c>
      <c r="F258" s="16">
        <f t="shared" si="41"/>
        <v>332479.19999999995</v>
      </c>
      <c r="G258" s="17">
        <v>562</v>
      </c>
      <c r="H258" s="16">
        <f t="shared" si="42"/>
        <v>273806.39999999997</v>
      </c>
      <c r="I258" s="16">
        <v>281</v>
      </c>
      <c r="J258" s="16">
        <f t="shared" si="43"/>
        <v>1251686.4</v>
      </c>
      <c r="K258" s="16"/>
      <c r="L258" s="16">
        <f t="shared" si="44"/>
        <v>0</v>
      </c>
      <c r="M258" s="16"/>
      <c r="N258" s="16">
        <f t="shared" si="45"/>
        <v>0</v>
      </c>
      <c r="O258" s="16"/>
      <c r="P258" s="16">
        <f t="shared" si="58"/>
        <v>0</v>
      </c>
      <c r="Q258" s="16">
        <v>843</v>
      </c>
      <c r="R258" s="16">
        <f t="shared" si="29"/>
        <v>23469120</v>
      </c>
      <c r="S258" s="16">
        <v>281</v>
      </c>
      <c r="T258" s="16">
        <f t="shared" si="46"/>
        <v>472642</v>
      </c>
      <c r="U258" s="16"/>
      <c r="V258" s="16">
        <f t="shared" si="47"/>
        <v>0</v>
      </c>
      <c r="W258" s="16">
        <v>843</v>
      </c>
      <c r="X258" s="16">
        <f t="shared" si="48"/>
        <v>616064.3999999999</v>
      </c>
      <c r="Y258" s="16">
        <v>281</v>
      </c>
      <c r="Z258" s="16">
        <f t="shared" si="59"/>
        <v>1654247</v>
      </c>
      <c r="AA258" s="16"/>
      <c r="AB258" s="16">
        <f t="shared" si="49"/>
        <v>0</v>
      </c>
      <c r="AC258" s="16">
        <v>281</v>
      </c>
      <c r="AD258" s="16">
        <f t="shared" si="50"/>
        <v>182537.6</v>
      </c>
      <c r="AE258" s="16"/>
      <c r="AF258" s="16">
        <f t="shared" si="33"/>
        <v>0</v>
      </c>
      <c r="AG258" s="16">
        <v>281</v>
      </c>
      <c r="AH258" s="16">
        <f t="shared" si="51"/>
        <v>1688472.8</v>
      </c>
      <c r="AI258" s="16">
        <v>562</v>
      </c>
      <c r="AJ258" s="16">
        <f t="shared" si="52"/>
        <v>97788</v>
      </c>
      <c r="AK258" s="16">
        <v>281</v>
      </c>
      <c r="AL258" s="16">
        <f t="shared" si="53"/>
        <v>16298</v>
      </c>
      <c r="AM258" s="16"/>
      <c r="AN258" s="16">
        <f t="shared" si="54"/>
        <v>0</v>
      </c>
      <c r="AO258" s="16">
        <v>843</v>
      </c>
      <c r="AP258" s="16">
        <f t="shared" si="55"/>
        <v>434145</v>
      </c>
      <c r="AQ258" s="16"/>
      <c r="AR258" s="16">
        <f t="shared" si="60"/>
        <v>0</v>
      </c>
      <c r="AS258" s="16">
        <v>843</v>
      </c>
      <c r="AT258" s="16">
        <f t="shared" si="56"/>
        <v>273806.4</v>
      </c>
      <c r="AU258" s="16"/>
      <c r="AV258" s="16">
        <f t="shared" si="37"/>
        <v>0</v>
      </c>
      <c r="AW258" s="16"/>
      <c r="AX258" s="16">
        <f t="shared" si="38"/>
        <v>0</v>
      </c>
      <c r="AY258" s="16">
        <v>281</v>
      </c>
      <c r="AZ258" s="16">
        <f t="shared" si="61"/>
        <v>907497.93</v>
      </c>
      <c r="BA258" s="16"/>
      <c r="BB258" s="16">
        <f t="shared" si="57"/>
        <v>0</v>
      </c>
      <c r="BC258" s="11">
        <f t="shared" si="62"/>
        <v>31670591.13</v>
      </c>
      <c r="BD258" s="17"/>
      <c r="BE258" s="17"/>
      <c r="BF258" s="17">
        <v>281</v>
      </c>
      <c r="BG258" s="16">
        <f t="shared" si="40"/>
        <v>6078592</v>
      </c>
      <c r="BH258" s="17">
        <v>850</v>
      </c>
      <c r="BI258" s="17">
        <f>850*5900*1.16</f>
        <v>5817400</v>
      </c>
    </row>
    <row r="259" spans="1:61" ht="12.75">
      <c r="A259" s="38">
        <v>36139</v>
      </c>
      <c r="B259" s="39" t="s">
        <v>59</v>
      </c>
      <c r="C259" s="40" t="s">
        <v>501</v>
      </c>
      <c r="D259" s="40" t="s">
        <v>821</v>
      </c>
      <c r="E259" s="17">
        <v>1800</v>
      </c>
      <c r="F259" s="16">
        <f t="shared" si="41"/>
        <v>709920</v>
      </c>
      <c r="G259" s="17">
        <v>1200</v>
      </c>
      <c r="H259" s="16">
        <f t="shared" si="42"/>
        <v>584640</v>
      </c>
      <c r="I259" s="16"/>
      <c r="J259" s="16">
        <f t="shared" si="43"/>
        <v>0</v>
      </c>
      <c r="K259" s="16">
        <v>5</v>
      </c>
      <c r="L259" s="16">
        <f t="shared" si="44"/>
        <v>20400</v>
      </c>
      <c r="M259" s="16"/>
      <c r="N259" s="16">
        <f t="shared" si="45"/>
        <v>0</v>
      </c>
      <c r="O259" s="16"/>
      <c r="P259" s="16">
        <f t="shared" si="58"/>
        <v>0</v>
      </c>
      <c r="Q259" s="16">
        <v>1800</v>
      </c>
      <c r="R259" s="16">
        <f t="shared" si="29"/>
        <v>50112000</v>
      </c>
      <c r="S259" s="16">
        <v>600</v>
      </c>
      <c r="T259" s="16">
        <f t="shared" si="46"/>
        <v>1009200</v>
      </c>
      <c r="U259" s="16">
        <v>600</v>
      </c>
      <c r="V259" s="16">
        <f t="shared" si="47"/>
        <v>946560</v>
      </c>
      <c r="W259" s="16"/>
      <c r="X259" s="16">
        <f t="shared" si="48"/>
        <v>0</v>
      </c>
      <c r="Y259" s="16"/>
      <c r="Z259" s="16">
        <f t="shared" si="59"/>
        <v>0</v>
      </c>
      <c r="AA259" s="16"/>
      <c r="AB259" s="16">
        <f t="shared" si="49"/>
        <v>0</v>
      </c>
      <c r="AC259" s="16">
        <v>600</v>
      </c>
      <c r="AD259" s="16">
        <f t="shared" si="50"/>
        <v>389760</v>
      </c>
      <c r="AE259" s="16"/>
      <c r="AF259" s="16">
        <f t="shared" si="33"/>
        <v>0</v>
      </c>
      <c r="AG259" s="16"/>
      <c r="AH259" s="16">
        <f t="shared" si="51"/>
        <v>0</v>
      </c>
      <c r="AI259" s="16">
        <v>600</v>
      </c>
      <c r="AJ259" s="16">
        <f t="shared" si="52"/>
        <v>104400</v>
      </c>
      <c r="AK259" s="16">
        <v>600</v>
      </c>
      <c r="AL259" s="16">
        <f t="shared" si="53"/>
        <v>34800</v>
      </c>
      <c r="AM259" s="16">
        <v>5</v>
      </c>
      <c r="AN259" s="16">
        <f t="shared" si="54"/>
        <v>925100</v>
      </c>
      <c r="AO259" s="16"/>
      <c r="AP259" s="16">
        <f t="shared" si="55"/>
        <v>0</v>
      </c>
      <c r="AQ259" s="16"/>
      <c r="AR259" s="16">
        <f t="shared" si="60"/>
        <v>0</v>
      </c>
      <c r="AS259" s="16"/>
      <c r="AT259" s="16">
        <f t="shared" si="56"/>
        <v>0</v>
      </c>
      <c r="AU259" s="16"/>
      <c r="AV259" s="16">
        <f t="shared" si="37"/>
        <v>0</v>
      </c>
      <c r="AW259" s="16"/>
      <c r="AX259" s="16">
        <f t="shared" si="38"/>
        <v>0</v>
      </c>
      <c r="AY259" s="16">
        <v>600</v>
      </c>
      <c r="AZ259" s="16">
        <f t="shared" si="61"/>
        <v>1937718.0000000002</v>
      </c>
      <c r="BA259" s="16"/>
      <c r="BB259" s="16">
        <f t="shared" si="57"/>
        <v>0</v>
      </c>
      <c r="BC259" s="11">
        <f t="shared" si="62"/>
        <v>56774498</v>
      </c>
      <c r="BD259" s="17">
        <v>5000</v>
      </c>
      <c r="BE259" s="17">
        <f>5000*440.8</f>
        <v>2204000</v>
      </c>
      <c r="BF259" s="17">
        <v>600</v>
      </c>
      <c r="BG259" s="16">
        <f>+BF259*20732</f>
        <v>12439200</v>
      </c>
      <c r="BH259" s="17">
        <v>150</v>
      </c>
      <c r="BI259" s="17">
        <f>150*5900*1.16</f>
        <v>1026599.9999999999</v>
      </c>
    </row>
    <row r="260" spans="1:61" ht="22.5">
      <c r="A260" s="38">
        <v>36139</v>
      </c>
      <c r="B260" s="39" t="s">
        <v>59</v>
      </c>
      <c r="C260" s="40" t="s">
        <v>248</v>
      </c>
      <c r="D260" s="40" t="s">
        <v>821</v>
      </c>
      <c r="E260" s="17">
        <v>1050</v>
      </c>
      <c r="F260" s="16">
        <f t="shared" si="41"/>
        <v>414120</v>
      </c>
      <c r="G260" s="17">
        <v>700</v>
      </c>
      <c r="H260" s="16">
        <f t="shared" si="42"/>
        <v>341040</v>
      </c>
      <c r="I260" s="16"/>
      <c r="J260" s="16">
        <f t="shared" si="43"/>
        <v>0</v>
      </c>
      <c r="K260" s="16">
        <v>2</v>
      </c>
      <c r="L260" s="16">
        <f t="shared" si="44"/>
        <v>8160</v>
      </c>
      <c r="M260" s="16"/>
      <c r="N260" s="16">
        <f t="shared" si="45"/>
        <v>0</v>
      </c>
      <c r="O260" s="16"/>
      <c r="P260" s="16">
        <f t="shared" si="58"/>
        <v>0</v>
      </c>
      <c r="Q260" s="16">
        <v>1050</v>
      </c>
      <c r="R260" s="16">
        <f t="shared" si="29"/>
        <v>29232000</v>
      </c>
      <c r="S260" s="16">
        <v>350</v>
      </c>
      <c r="T260" s="16">
        <f t="shared" si="46"/>
        <v>588700</v>
      </c>
      <c r="U260" s="16">
        <v>350</v>
      </c>
      <c r="V260" s="16">
        <f t="shared" si="47"/>
        <v>552160</v>
      </c>
      <c r="W260" s="16"/>
      <c r="X260" s="16">
        <f t="shared" si="48"/>
        <v>0</v>
      </c>
      <c r="Y260" s="16"/>
      <c r="Z260" s="16">
        <f t="shared" si="59"/>
        <v>0</v>
      </c>
      <c r="AA260" s="16"/>
      <c r="AB260" s="16">
        <f t="shared" si="49"/>
        <v>0</v>
      </c>
      <c r="AC260" s="16">
        <v>350</v>
      </c>
      <c r="AD260" s="16">
        <f t="shared" si="50"/>
        <v>227360</v>
      </c>
      <c r="AE260" s="16"/>
      <c r="AF260" s="16">
        <f t="shared" si="33"/>
        <v>0</v>
      </c>
      <c r="AG260" s="16"/>
      <c r="AH260" s="16">
        <f t="shared" si="51"/>
        <v>0</v>
      </c>
      <c r="AI260" s="16">
        <v>350</v>
      </c>
      <c r="AJ260" s="16">
        <f t="shared" si="52"/>
        <v>60900</v>
      </c>
      <c r="AK260" s="16">
        <v>350</v>
      </c>
      <c r="AL260" s="16">
        <f t="shared" si="53"/>
        <v>20300</v>
      </c>
      <c r="AM260" s="16">
        <v>2</v>
      </c>
      <c r="AN260" s="16">
        <f t="shared" si="54"/>
        <v>370040</v>
      </c>
      <c r="AO260" s="16"/>
      <c r="AP260" s="16">
        <f t="shared" si="55"/>
        <v>0</v>
      </c>
      <c r="AQ260" s="16"/>
      <c r="AR260" s="16">
        <f t="shared" si="60"/>
        <v>0</v>
      </c>
      <c r="AS260" s="16"/>
      <c r="AT260" s="16">
        <f t="shared" si="56"/>
        <v>0</v>
      </c>
      <c r="AU260" s="16"/>
      <c r="AV260" s="16">
        <f t="shared" si="37"/>
        <v>0</v>
      </c>
      <c r="AW260" s="16"/>
      <c r="AX260" s="16">
        <f t="shared" si="38"/>
        <v>0</v>
      </c>
      <c r="AY260" s="16">
        <v>350</v>
      </c>
      <c r="AZ260" s="16">
        <f t="shared" si="61"/>
        <v>1130335.5</v>
      </c>
      <c r="BA260" s="16">
        <v>1050</v>
      </c>
      <c r="BB260" s="16">
        <f t="shared" si="57"/>
        <v>7917000</v>
      </c>
      <c r="BC260" s="11">
        <f t="shared" si="62"/>
        <v>40862115.5</v>
      </c>
      <c r="BD260" s="17">
        <v>4000</v>
      </c>
      <c r="BE260" s="17">
        <f>4000*440.8</f>
        <v>1763200</v>
      </c>
      <c r="BF260" s="17">
        <v>350</v>
      </c>
      <c r="BG260" s="16">
        <f>+BF260*20732</f>
        <v>7256200</v>
      </c>
      <c r="BH260" s="17">
        <v>100</v>
      </c>
      <c r="BI260" s="17">
        <f>100*5900*1.16</f>
        <v>684400</v>
      </c>
    </row>
    <row r="261" spans="1:61" ht="12.75">
      <c r="A261" s="38">
        <v>36139</v>
      </c>
      <c r="B261" s="39" t="s">
        <v>59</v>
      </c>
      <c r="C261" s="40" t="s">
        <v>249</v>
      </c>
      <c r="D261" s="40" t="s">
        <v>821</v>
      </c>
      <c r="E261" s="17">
        <v>600</v>
      </c>
      <c r="F261" s="16">
        <f t="shared" si="41"/>
        <v>236640</v>
      </c>
      <c r="G261" s="17">
        <v>400</v>
      </c>
      <c r="H261" s="16">
        <f t="shared" si="42"/>
        <v>194880</v>
      </c>
      <c r="I261" s="16"/>
      <c r="J261" s="16">
        <f t="shared" si="43"/>
        <v>0</v>
      </c>
      <c r="K261" s="16"/>
      <c r="L261" s="16">
        <f t="shared" si="44"/>
        <v>0</v>
      </c>
      <c r="M261" s="16"/>
      <c r="N261" s="16">
        <f t="shared" si="45"/>
        <v>0</v>
      </c>
      <c r="O261" s="16"/>
      <c r="P261" s="16">
        <f t="shared" si="58"/>
        <v>0</v>
      </c>
      <c r="Q261" s="16"/>
      <c r="R261" s="16">
        <f t="shared" si="29"/>
        <v>0</v>
      </c>
      <c r="S261" s="16">
        <v>200</v>
      </c>
      <c r="T261" s="16">
        <f t="shared" si="46"/>
        <v>336400</v>
      </c>
      <c r="U261" s="16">
        <v>200</v>
      </c>
      <c r="V261" s="16">
        <f t="shared" si="47"/>
        <v>315520</v>
      </c>
      <c r="W261" s="16"/>
      <c r="X261" s="16">
        <f t="shared" si="48"/>
        <v>0</v>
      </c>
      <c r="Y261" s="16"/>
      <c r="Z261" s="16">
        <f t="shared" si="59"/>
        <v>0</v>
      </c>
      <c r="AA261" s="16"/>
      <c r="AB261" s="16">
        <f t="shared" si="49"/>
        <v>0</v>
      </c>
      <c r="AC261" s="16">
        <v>200</v>
      </c>
      <c r="AD261" s="16">
        <f t="shared" si="50"/>
        <v>129920</v>
      </c>
      <c r="AE261" s="16"/>
      <c r="AF261" s="16">
        <f t="shared" si="33"/>
        <v>0</v>
      </c>
      <c r="AG261" s="16"/>
      <c r="AH261" s="16">
        <f t="shared" si="51"/>
        <v>0</v>
      </c>
      <c r="AI261" s="16">
        <v>200</v>
      </c>
      <c r="AJ261" s="16">
        <f t="shared" si="52"/>
        <v>34800</v>
      </c>
      <c r="AK261" s="16">
        <v>200</v>
      </c>
      <c r="AL261" s="16">
        <f t="shared" si="53"/>
        <v>11600</v>
      </c>
      <c r="AM261" s="16"/>
      <c r="AN261" s="16">
        <f t="shared" si="54"/>
        <v>0</v>
      </c>
      <c r="AO261" s="16"/>
      <c r="AP261" s="16">
        <f t="shared" si="55"/>
        <v>0</v>
      </c>
      <c r="AQ261" s="16"/>
      <c r="AR261" s="16">
        <f t="shared" si="60"/>
        <v>0</v>
      </c>
      <c r="AS261" s="16"/>
      <c r="AT261" s="16">
        <f t="shared" si="56"/>
        <v>0</v>
      </c>
      <c r="AU261" s="16"/>
      <c r="AV261" s="16">
        <f t="shared" si="37"/>
        <v>0</v>
      </c>
      <c r="AW261" s="16"/>
      <c r="AX261" s="16">
        <f t="shared" si="38"/>
        <v>0</v>
      </c>
      <c r="AY261" s="16">
        <v>200</v>
      </c>
      <c r="AZ261" s="16">
        <f t="shared" si="61"/>
        <v>645906</v>
      </c>
      <c r="BA261" s="16"/>
      <c r="BB261" s="16">
        <f t="shared" si="57"/>
        <v>0</v>
      </c>
      <c r="BC261" s="11">
        <f t="shared" si="62"/>
        <v>1905666</v>
      </c>
      <c r="BD261" s="17"/>
      <c r="BE261" s="17"/>
      <c r="BF261" s="17">
        <v>200</v>
      </c>
      <c r="BG261" s="16">
        <f t="shared" si="40"/>
        <v>4326400</v>
      </c>
      <c r="BH261" s="17">
        <v>600</v>
      </c>
      <c r="BI261" s="17">
        <f>600*5900*1.16</f>
        <v>4106399.9999999995</v>
      </c>
    </row>
    <row r="262" spans="1:61" ht="12.75">
      <c r="A262" s="38">
        <v>36139</v>
      </c>
      <c r="B262" s="39" t="s">
        <v>59</v>
      </c>
      <c r="C262" s="40" t="s">
        <v>60</v>
      </c>
      <c r="D262" s="40" t="s">
        <v>821</v>
      </c>
      <c r="E262" s="17">
        <v>471</v>
      </c>
      <c r="F262" s="16">
        <f t="shared" si="41"/>
        <v>185762.4</v>
      </c>
      <c r="G262" s="17">
        <v>314</v>
      </c>
      <c r="H262" s="16">
        <f t="shared" si="42"/>
        <v>152980.8</v>
      </c>
      <c r="I262" s="16"/>
      <c r="J262" s="16">
        <f t="shared" si="43"/>
        <v>0</v>
      </c>
      <c r="K262" s="16"/>
      <c r="L262" s="16">
        <f t="shared" si="44"/>
        <v>0</v>
      </c>
      <c r="M262" s="16"/>
      <c r="N262" s="16">
        <f t="shared" si="45"/>
        <v>0</v>
      </c>
      <c r="O262" s="16"/>
      <c r="P262" s="16">
        <f t="shared" si="58"/>
        <v>0</v>
      </c>
      <c r="Q262" s="16"/>
      <c r="R262" s="16">
        <f t="shared" si="29"/>
        <v>0</v>
      </c>
      <c r="S262" s="16">
        <v>157</v>
      </c>
      <c r="T262" s="16">
        <f t="shared" si="46"/>
        <v>264074</v>
      </c>
      <c r="U262" s="16">
        <v>157</v>
      </c>
      <c r="V262" s="16">
        <f t="shared" si="47"/>
        <v>247683.19999999998</v>
      </c>
      <c r="W262" s="16"/>
      <c r="X262" s="16">
        <f t="shared" si="48"/>
        <v>0</v>
      </c>
      <c r="Y262" s="16"/>
      <c r="Z262" s="16">
        <f t="shared" si="59"/>
        <v>0</v>
      </c>
      <c r="AA262" s="16"/>
      <c r="AB262" s="16">
        <f t="shared" si="49"/>
        <v>0</v>
      </c>
      <c r="AC262" s="16">
        <v>157</v>
      </c>
      <c r="AD262" s="16">
        <f t="shared" si="50"/>
        <v>101987.2</v>
      </c>
      <c r="AE262" s="16"/>
      <c r="AF262" s="16">
        <f t="shared" si="33"/>
        <v>0</v>
      </c>
      <c r="AG262" s="16"/>
      <c r="AH262" s="16">
        <f t="shared" si="51"/>
        <v>0</v>
      </c>
      <c r="AI262" s="16">
        <v>314</v>
      </c>
      <c r="AJ262" s="16">
        <f t="shared" si="52"/>
        <v>54636</v>
      </c>
      <c r="AK262" s="16">
        <v>157</v>
      </c>
      <c r="AL262" s="16">
        <f t="shared" si="53"/>
        <v>9106</v>
      </c>
      <c r="AM262" s="16"/>
      <c r="AN262" s="16">
        <f t="shared" si="54"/>
        <v>0</v>
      </c>
      <c r="AO262" s="16"/>
      <c r="AP262" s="16">
        <f t="shared" si="55"/>
        <v>0</v>
      </c>
      <c r="AQ262" s="16"/>
      <c r="AR262" s="16">
        <f t="shared" si="60"/>
        <v>0</v>
      </c>
      <c r="AS262" s="16"/>
      <c r="AT262" s="16">
        <f t="shared" si="56"/>
        <v>0</v>
      </c>
      <c r="AU262" s="16"/>
      <c r="AV262" s="16">
        <f t="shared" si="37"/>
        <v>0</v>
      </c>
      <c r="AW262" s="16"/>
      <c r="AX262" s="16">
        <f t="shared" si="38"/>
        <v>0</v>
      </c>
      <c r="AY262" s="16">
        <v>157</v>
      </c>
      <c r="AZ262" s="16">
        <f t="shared" si="61"/>
        <v>507036.21</v>
      </c>
      <c r="BA262" s="16"/>
      <c r="BB262" s="16">
        <f t="shared" si="57"/>
        <v>0</v>
      </c>
      <c r="BC262" s="11">
        <f t="shared" si="62"/>
        <v>1523265.8099999998</v>
      </c>
      <c r="BD262" s="17"/>
      <c r="BE262" s="17"/>
      <c r="BF262" s="17">
        <v>157</v>
      </c>
      <c r="BG262" s="16">
        <f t="shared" si="40"/>
        <v>3396224</v>
      </c>
      <c r="BH262" s="17">
        <v>471</v>
      </c>
      <c r="BI262" s="17">
        <f>471*5900*1.16</f>
        <v>3223524</v>
      </c>
    </row>
    <row r="263" spans="1:61" ht="12.75">
      <c r="A263" s="38">
        <v>36131</v>
      </c>
      <c r="B263" s="39" t="s">
        <v>16</v>
      </c>
      <c r="C263" s="40" t="s">
        <v>19</v>
      </c>
      <c r="D263" s="40" t="s">
        <v>821</v>
      </c>
      <c r="E263" s="17">
        <v>90</v>
      </c>
      <c r="F263" s="16">
        <f t="shared" si="41"/>
        <v>35496</v>
      </c>
      <c r="G263" s="17">
        <v>60</v>
      </c>
      <c r="H263" s="16">
        <f t="shared" si="42"/>
        <v>29232</v>
      </c>
      <c r="I263" s="16">
        <v>30</v>
      </c>
      <c r="J263" s="16">
        <f t="shared" si="43"/>
        <v>133632</v>
      </c>
      <c r="K263" s="16"/>
      <c r="L263" s="16">
        <f t="shared" si="44"/>
        <v>0</v>
      </c>
      <c r="M263" s="16">
        <v>90</v>
      </c>
      <c r="N263" s="16">
        <f t="shared" si="45"/>
        <v>689940</v>
      </c>
      <c r="O263" s="16"/>
      <c r="P263" s="16">
        <f t="shared" si="58"/>
        <v>0</v>
      </c>
      <c r="Q263" s="16">
        <v>90</v>
      </c>
      <c r="R263" s="16">
        <f t="shared" si="29"/>
        <v>2505600</v>
      </c>
      <c r="S263" s="16">
        <v>30</v>
      </c>
      <c r="T263" s="16">
        <f t="shared" si="46"/>
        <v>50460</v>
      </c>
      <c r="U263" s="16">
        <v>30</v>
      </c>
      <c r="V263" s="16">
        <f t="shared" si="47"/>
        <v>47328</v>
      </c>
      <c r="W263" s="16"/>
      <c r="X263" s="16">
        <f t="shared" si="48"/>
        <v>0</v>
      </c>
      <c r="Y263" s="16">
        <v>30</v>
      </c>
      <c r="Z263" s="16">
        <f t="shared" si="59"/>
        <v>176610</v>
      </c>
      <c r="AA263" s="16"/>
      <c r="AB263" s="16">
        <f t="shared" si="49"/>
        <v>0</v>
      </c>
      <c r="AC263" s="16">
        <v>30</v>
      </c>
      <c r="AD263" s="16">
        <f t="shared" si="50"/>
        <v>19488</v>
      </c>
      <c r="AE263" s="16">
        <v>90</v>
      </c>
      <c r="AF263" s="16">
        <f t="shared" si="33"/>
        <v>489635.99999999994</v>
      </c>
      <c r="AG263" s="16">
        <v>30</v>
      </c>
      <c r="AH263" s="16">
        <f t="shared" si="51"/>
        <v>180264</v>
      </c>
      <c r="AI263" s="16">
        <v>60</v>
      </c>
      <c r="AJ263" s="16">
        <f t="shared" si="52"/>
        <v>10440</v>
      </c>
      <c r="AK263" s="16">
        <v>30</v>
      </c>
      <c r="AL263" s="16">
        <f t="shared" si="53"/>
        <v>1740</v>
      </c>
      <c r="AM263" s="16"/>
      <c r="AN263" s="16">
        <f t="shared" si="54"/>
        <v>0</v>
      </c>
      <c r="AO263" s="16">
        <v>90</v>
      </c>
      <c r="AP263" s="16">
        <f t="shared" si="55"/>
        <v>46350</v>
      </c>
      <c r="AQ263" s="16"/>
      <c r="AR263" s="16">
        <f t="shared" si="60"/>
        <v>0</v>
      </c>
      <c r="AS263" s="16">
        <v>90</v>
      </c>
      <c r="AT263" s="16">
        <f t="shared" si="56"/>
        <v>29232</v>
      </c>
      <c r="AU263" s="16"/>
      <c r="AV263" s="16">
        <f t="shared" si="37"/>
        <v>0</v>
      </c>
      <c r="AW263" s="16">
        <v>90</v>
      </c>
      <c r="AX263" s="16">
        <f t="shared" si="38"/>
        <v>1012680</v>
      </c>
      <c r="AY263" s="16">
        <v>30</v>
      </c>
      <c r="AZ263" s="16">
        <f t="shared" si="61"/>
        <v>96885.90000000001</v>
      </c>
      <c r="BA263" s="16"/>
      <c r="BB263" s="16">
        <f t="shared" si="57"/>
        <v>0</v>
      </c>
      <c r="BC263" s="11">
        <f t="shared" si="62"/>
        <v>5555013.9</v>
      </c>
      <c r="BD263" s="17"/>
      <c r="BE263" s="17"/>
      <c r="BF263" s="17">
        <v>30</v>
      </c>
      <c r="BG263" s="16">
        <f t="shared" si="40"/>
        <v>648960</v>
      </c>
      <c r="BH263" s="17"/>
      <c r="BI263" s="17"/>
    </row>
    <row r="264" spans="1:61" ht="12.75">
      <c r="A264" s="38">
        <v>36139</v>
      </c>
      <c r="B264" s="39" t="s">
        <v>904</v>
      </c>
      <c r="C264" s="40" t="s">
        <v>875</v>
      </c>
      <c r="D264" s="40" t="s">
        <v>821</v>
      </c>
      <c r="E264" s="17">
        <v>500</v>
      </c>
      <c r="F264" s="16">
        <f t="shared" si="41"/>
        <v>197200</v>
      </c>
      <c r="G264" s="17">
        <v>300</v>
      </c>
      <c r="H264" s="16">
        <f t="shared" si="42"/>
        <v>146160</v>
      </c>
      <c r="I264" s="16"/>
      <c r="J264" s="16">
        <f t="shared" si="43"/>
        <v>0</v>
      </c>
      <c r="K264" s="16">
        <v>12</v>
      </c>
      <c r="L264" s="16">
        <f t="shared" si="44"/>
        <v>48960</v>
      </c>
      <c r="M264" s="16"/>
      <c r="N264" s="16">
        <f t="shared" si="45"/>
        <v>0</v>
      </c>
      <c r="O264" s="16"/>
      <c r="P264" s="16">
        <f t="shared" si="58"/>
        <v>0</v>
      </c>
      <c r="Q264" s="16">
        <v>530</v>
      </c>
      <c r="R264" s="16">
        <f t="shared" si="29"/>
        <v>14755200</v>
      </c>
      <c r="S264" s="16">
        <v>150</v>
      </c>
      <c r="T264" s="16">
        <f t="shared" si="46"/>
        <v>252300</v>
      </c>
      <c r="U264" s="16">
        <v>150</v>
      </c>
      <c r="V264" s="16">
        <f t="shared" si="47"/>
        <v>236640</v>
      </c>
      <c r="W264" s="16"/>
      <c r="X264" s="16">
        <f t="shared" si="48"/>
        <v>0</v>
      </c>
      <c r="Y264" s="16"/>
      <c r="Z264" s="16">
        <f t="shared" si="59"/>
        <v>0</v>
      </c>
      <c r="AA264" s="16"/>
      <c r="AB264" s="16">
        <f t="shared" si="49"/>
        <v>0</v>
      </c>
      <c r="AC264" s="16">
        <v>150</v>
      </c>
      <c r="AD264" s="16">
        <f t="shared" si="50"/>
        <v>97440</v>
      </c>
      <c r="AE264" s="16"/>
      <c r="AF264" s="16">
        <f t="shared" si="33"/>
        <v>0</v>
      </c>
      <c r="AG264" s="16"/>
      <c r="AH264" s="16">
        <f t="shared" si="51"/>
        <v>0</v>
      </c>
      <c r="AI264" s="16"/>
      <c r="AJ264" s="16">
        <f t="shared" si="52"/>
        <v>0</v>
      </c>
      <c r="AK264" s="16">
        <v>150</v>
      </c>
      <c r="AL264" s="16">
        <f t="shared" si="53"/>
        <v>8700</v>
      </c>
      <c r="AM264" s="16">
        <v>12</v>
      </c>
      <c r="AN264" s="16">
        <f t="shared" si="54"/>
        <v>2220240</v>
      </c>
      <c r="AO264" s="16"/>
      <c r="AP264" s="16">
        <f t="shared" si="55"/>
        <v>0</v>
      </c>
      <c r="AQ264" s="16"/>
      <c r="AR264" s="16">
        <f t="shared" si="60"/>
        <v>0</v>
      </c>
      <c r="AS264" s="16"/>
      <c r="AT264" s="16">
        <f t="shared" si="56"/>
        <v>0</v>
      </c>
      <c r="AU264" s="16"/>
      <c r="AV264" s="16">
        <f t="shared" si="37"/>
        <v>0</v>
      </c>
      <c r="AW264" s="16"/>
      <c r="AX264" s="16">
        <f t="shared" si="38"/>
        <v>0</v>
      </c>
      <c r="AY264" s="16"/>
      <c r="AZ264" s="16">
        <f t="shared" si="61"/>
        <v>0</v>
      </c>
      <c r="BA264" s="16"/>
      <c r="BB264" s="16">
        <f t="shared" si="57"/>
        <v>0</v>
      </c>
      <c r="BC264" s="11">
        <f t="shared" si="62"/>
        <v>17962840</v>
      </c>
      <c r="BD264" s="17">
        <v>13000</v>
      </c>
      <c r="BE264" s="17">
        <f>13000*440.8</f>
        <v>5730400</v>
      </c>
      <c r="BF264" s="17">
        <f>1000+500</f>
        <v>1500</v>
      </c>
      <c r="BG264" s="16">
        <f>+BF264*20732</f>
        <v>31098000</v>
      </c>
      <c r="BH264" s="17">
        <v>1000</v>
      </c>
      <c r="BI264" s="17">
        <f>1000*5900*1.16</f>
        <v>6843999.999999999</v>
      </c>
    </row>
    <row r="265" spans="1:61" ht="12.75">
      <c r="A265" s="38">
        <v>36137</v>
      </c>
      <c r="B265" s="39" t="s">
        <v>39</v>
      </c>
      <c r="C265" s="40" t="s">
        <v>158</v>
      </c>
      <c r="D265" s="40" t="s">
        <v>821</v>
      </c>
      <c r="E265" s="17">
        <v>84</v>
      </c>
      <c r="F265" s="16">
        <f t="shared" si="41"/>
        <v>33129.6</v>
      </c>
      <c r="G265" s="17">
        <v>56</v>
      </c>
      <c r="H265" s="16">
        <f t="shared" si="42"/>
        <v>27283.2</v>
      </c>
      <c r="I265" s="16">
        <v>28</v>
      </c>
      <c r="J265" s="16">
        <f t="shared" si="43"/>
        <v>124723.19999999998</v>
      </c>
      <c r="K265" s="16"/>
      <c r="L265" s="16">
        <f t="shared" si="44"/>
        <v>0</v>
      </c>
      <c r="M265" s="16"/>
      <c r="N265" s="16">
        <f t="shared" si="45"/>
        <v>0</v>
      </c>
      <c r="O265" s="16"/>
      <c r="P265" s="16">
        <f t="shared" si="58"/>
        <v>0</v>
      </c>
      <c r="Q265" s="16">
        <v>84</v>
      </c>
      <c r="R265" s="16">
        <f t="shared" si="29"/>
        <v>2338560</v>
      </c>
      <c r="S265" s="16">
        <v>28</v>
      </c>
      <c r="T265" s="16">
        <f t="shared" si="46"/>
        <v>47096</v>
      </c>
      <c r="U265" s="16"/>
      <c r="V265" s="16">
        <f t="shared" si="47"/>
        <v>0</v>
      </c>
      <c r="W265" s="16">
        <v>84</v>
      </c>
      <c r="X265" s="16">
        <f t="shared" si="48"/>
        <v>61387.2</v>
      </c>
      <c r="Y265" s="16">
        <v>28</v>
      </c>
      <c r="Z265" s="16">
        <f t="shared" si="59"/>
        <v>164836</v>
      </c>
      <c r="AA265" s="16"/>
      <c r="AB265" s="16">
        <f t="shared" si="49"/>
        <v>0</v>
      </c>
      <c r="AC265" s="16">
        <v>28</v>
      </c>
      <c r="AD265" s="16">
        <f t="shared" si="50"/>
        <v>18188.8</v>
      </c>
      <c r="AE265" s="16"/>
      <c r="AF265" s="16">
        <f t="shared" si="33"/>
        <v>0</v>
      </c>
      <c r="AG265" s="16">
        <v>28</v>
      </c>
      <c r="AH265" s="16">
        <f t="shared" si="51"/>
        <v>168246.4</v>
      </c>
      <c r="AI265" s="16">
        <v>56</v>
      </c>
      <c r="AJ265" s="16">
        <f t="shared" si="52"/>
        <v>9744</v>
      </c>
      <c r="AK265" s="16">
        <v>28</v>
      </c>
      <c r="AL265" s="16">
        <f t="shared" si="53"/>
        <v>1624</v>
      </c>
      <c r="AM265" s="16"/>
      <c r="AN265" s="16">
        <f t="shared" si="54"/>
        <v>0</v>
      </c>
      <c r="AO265" s="16">
        <v>84</v>
      </c>
      <c r="AP265" s="16">
        <f t="shared" si="55"/>
        <v>43260</v>
      </c>
      <c r="AQ265" s="16"/>
      <c r="AR265" s="16">
        <f t="shared" si="60"/>
        <v>0</v>
      </c>
      <c r="AS265" s="16">
        <v>84</v>
      </c>
      <c r="AT265" s="16">
        <f t="shared" si="56"/>
        <v>27283.2</v>
      </c>
      <c r="AU265" s="16"/>
      <c r="AV265" s="16">
        <f t="shared" si="37"/>
        <v>0</v>
      </c>
      <c r="AW265" s="16"/>
      <c r="AX265" s="16">
        <f t="shared" si="38"/>
        <v>0</v>
      </c>
      <c r="AY265" s="16">
        <v>28</v>
      </c>
      <c r="AZ265" s="16">
        <f t="shared" si="61"/>
        <v>90426.84000000001</v>
      </c>
      <c r="BA265" s="16"/>
      <c r="BB265" s="16">
        <f t="shared" si="57"/>
        <v>0</v>
      </c>
      <c r="BC265" s="11">
        <f t="shared" si="39"/>
        <v>3155788.44</v>
      </c>
      <c r="BD265" s="17"/>
      <c r="BE265" s="17"/>
      <c r="BF265" s="17"/>
      <c r="BG265" s="16">
        <f>+BF265*21632</f>
        <v>0</v>
      </c>
      <c r="BH265" s="17"/>
      <c r="BI265" s="17"/>
    </row>
    <row r="266" spans="1:62" ht="84.75">
      <c r="A266" s="38">
        <v>36139</v>
      </c>
      <c r="B266" s="39" t="s">
        <v>882</v>
      </c>
      <c r="C266" s="40" t="s">
        <v>751</v>
      </c>
      <c r="D266" s="40" t="s">
        <v>821</v>
      </c>
      <c r="E266" s="17">
        <v>288</v>
      </c>
      <c r="F266" s="16">
        <f t="shared" si="41"/>
        <v>113587.2</v>
      </c>
      <c r="G266" s="17">
        <v>192</v>
      </c>
      <c r="H266" s="16">
        <f t="shared" si="42"/>
        <v>93542.4</v>
      </c>
      <c r="I266" s="16">
        <v>97</v>
      </c>
      <c r="J266" s="16">
        <f t="shared" si="43"/>
        <v>432076.8</v>
      </c>
      <c r="K266" s="16"/>
      <c r="L266" s="16">
        <f t="shared" si="44"/>
        <v>0</v>
      </c>
      <c r="M266" s="16"/>
      <c r="N266" s="16">
        <f t="shared" si="45"/>
        <v>0</v>
      </c>
      <c r="O266" s="16"/>
      <c r="P266" s="16">
        <f t="shared" si="58"/>
        <v>0</v>
      </c>
      <c r="Q266" s="16"/>
      <c r="R266" s="16">
        <f>+Q266*28420</f>
        <v>0</v>
      </c>
      <c r="S266" s="16">
        <v>96</v>
      </c>
      <c r="T266" s="16">
        <f t="shared" si="46"/>
        <v>161472</v>
      </c>
      <c r="U266" s="16">
        <v>96</v>
      </c>
      <c r="V266" s="16">
        <f t="shared" si="47"/>
        <v>151449.59999999998</v>
      </c>
      <c r="W266" s="16">
        <v>288</v>
      </c>
      <c r="X266" s="16">
        <f t="shared" si="48"/>
        <v>210470.4</v>
      </c>
      <c r="Y266" s="16">
        <v>97</v>
      </c>
      <c r="Z266" s="16">
        <f t="shared" si="59"/>
        <v>571039</v>
      </c>
      <c r="AA266" s="16">
        <v>288</v>
      </c>
      <c r="AB266" s="16">
        <f t="shared" si="49"/>
        <v>4498041.600000001</v>
      </c>
      <c r="AC266" s="16">
        <v>96</v>
      </c>
      <c r="AD266" s="16">
        <f t="shared" si="50"/>
        <v>62361.600000000006</v>
      </c>
      <c r="AE266" s="16"/>
      <c r="AF266" s="16">
        <f t="shared" si="33"/>
        <v>0</v>
      </c>
      <c r="AG266" s="16">
        <v>97</v>
      </c>
      <c r="AH266" s="16">
        <f t="shared" si="51"/>
        <v>582853.6</v>
      </c>
      <c r="AI266" s="16">
        <v>192</v>
      </c>
      <c r="AJ266" s="16">
        <f t="shared" si="52"/>
        <v>33408</v>
      </c>
      <c r="AK266" s="16">
        <v>96</v>
      </c>
      <c r="AL266" s="16">
        <f t="shared" si="53"/>
        <v>5568</v>
      </c>
      <c r="AM266" s="16"/>
      <c r="AN266" s="16">
        <f t="shared" si="54"/>
        <v>0</v>
      </c>
      <c r="AO266" s="16">
        <v>288</v>
      </c>
      <c r="AP266" s="16">
        <f t="shared" si="55"/>
        <v>148320</v>
      </c>
      <c r="AQ266" s="16"/>
      <c r="AR266" s="16">
        <f t="shared" si="60"/>
        <v>0</v>
      </c>
      <c r="AS266" s="16">
        <v>288</v>
      </c>
      <c r="AT266" s="16">
        <f t="shared" si="56"/>
        <v>93542.40000000001</v>
      </c>
      <c r="AU266" s="16"/>
      <c r="AV266" s="16">
        <f t="shared" si="37"/>
        <v>0</v>
      </c>
      <c r="AW266" s="16"/>
      <c r="AX266" s="16">
        <f t="shared" si="38"/>
        <v>0</v>
      </c>
      <c r="AY266" s="16">
        <v>96</v>
      </c>
      <c r="AZ266" s="16">
        <f t="shared" si="61"/>
        <v>310034.88</v>
      </c>
      <c r="BA266" s="16"/>
      <c r="BB266" s="16">
        <f t="shared" si="57"/>
        <v>0</v>
      </c>
      <c r="BC266" s="11">
        <f aca="true" t="shared" si="63" ref="BC266:BC282">SUM(F266+H266+J266+L266+N266+P266+R266+T266+V266+X266+Z266+AB266+AD266+AF266+AH266+AJ266+AL266+AN266+AP266+AR266+AT266+AV266+AX266+AZ266+BB266)</f>
        <v>7467767.4799999995</v>
      </c>
      <c r="BD266" s="17"/>
      <c r="BE266" s="17"/>
      <c r="BF266" s="17"/>
      <c r="BG266" s="16">
        <f aca="true" t="shared" si="64" ref="BG266:BG274">+BF266*21632</f>
        <v>0</v>
      </c>
      <c r="BH266" s="17"/>
      <c r="BI266" s="17"/>
      <c r="BJ266" s="91" t="s">
        <v>191</v>
      </c>
    </row>
    <row r="267" spans="1:61" ht="12.75">
      <c r="A267" s="38">
        <v>36144</v>
      </c>
      <c r="B267" s="39" t="s">
        <v>882</v>
      </c>
      <c r="C267" s="40" t="s">
        <v>331</v>
      </c>
      <c r="D267" s="40" t="s">
        <v>821</v>
      </c>
      <c r="E267" s="17"/>
      <c r="F267" s="16">
        <f t="shared" si="41"/>
        <v>0</v>
      </c>
      <c r="G267" s="17"/>
      <c r="H267" s="16">
        <f t="shared" si="42"/>
        <v>0</v>
      </c>
      <c r="I267" s="16"/>
      <c r="J267" s="16">
        <f t="shared" si="43"/>
        <v>0</v>
      </c>
      <c r="K267" s="16"/>
      <c r="L267" s="16">
        <f t="shared" si="44"/>
        <v>0</v>
      </c>
      <c r="M267" s="16"/>
      <c r="N267" s="16">
        <f t="shared" si="45"/>
        <v>0</v>
      </c>
      <c r="O267" s="16"/>
      <c r="P267" s="16">
        <f t="shared" si="58"/>
        <v>0</v>
      </c>
      <c r="Q267" s="16">
        <v>450</v>
      </c>
      <c r="R267" s="16">
        <f aca="true" t="shared" si="65" ref="R267:R283">+Q267*28420</f>
        <v>12789000</v>
      </c>
      <c r="S267" s="16"/>
      <c r="T267" s="16">
        <f t="shared" si="46"/>
        <v>0</v>
      </c>
      <c r="U267" s="16"/>
      <c r="V267" s="16">
        <f t="shared" si="47"/>
        <v>0</v>
      </c>
      <c r="W267" s="16"/>
      <c r="X267" s="16">
        <f t="shared" si="48"/>
        <v>0</v>
      </c>
      <c r="Y267" s="16"/>
      <c r="Z267" s="16">
        <f t="shared" si="59"/>
        <v>0</v>
      </c>
      <c r="AA267" s="16"/>
      <c r="AB267" s="16">
        <f t="shared" si="49"/>
        <v>0</v>
      </c>
      <c r="AC267" s="16"/>
      <c r="AD267" s="16">
        <f t="shared" si="50"/>
        <v>0</v>
      </c>
      <c r="AE267" s="16"/>
      <c r="AF267" s="16">
        <f t="shared" si="33"/>
        <v>0</v>
      </c>
      <c r="AG267" s="16"/>
      <c r="AH267" s="16">
        <f t="shared" si="51"/>
        <v>0</v>
      </c>
      <c r="AI267" s="16"/>
      <c r="AJ267" s="16">
        <f t="shared" si="52"/>
        <v>0</v>
      </c>
      <c r="AK267" s="16"/>
      <c r="AL267" s="16">
        <f t="shared" si="53"/>
        <v>0</v>
      </c>
      <c r="AM267" s="16"/>
      <c r="AN267" s="16">
        <f t="shared" si="54"/>
        <v>0</v>
      </c>
      <c r="AO267" s="16"/>
      <c r="AP267" s="16">
        <f t="shared" si="55"/>
        <v>0</v>
      </c>
      <c r="AQ267" s="16"/>
      <c r="AR267" s="16">
        <f t="shared" si="60"/>
        <v>0</v>
      </c>
      <c r="AS267" s="16"/>
      <c r="AT267" s="16">
        <f t="shared" si="56"/>
        <v>0</v>
      </c>
      <c r="AU267" s="16"/>
      <c r="AV267" s="16">
        <f t="shared" si="37"/>
        <v>0</v>
      </c>
      <c r="AW267" s="16"/>
      <c r="AX267" s="16">
        <f t="shared" si="38"/>
        <v>0</v>
      </c>
      <c r="AY267" s="16"/>
      <c r="AZ267" s="16">
        <f t="shared" si="61"/>
        <v>0</v>
      </c>
      <c r="BA267" s="16"/>
      <c r="BB267" s="16">
        <f t="shared" si="57"/>
        <v>0</v>
      </c>
      <c r="BC267" s="11">
        <f t="shared" si="63"/>
        <v>12789000</v>
      </c>
      <c r="BD267" s="17"/>
      <c r="BE267" s="17"/>
      <c r="BF267" s="17">
        <v>150</v>
      </c>
      <c r="BG267" s="16">
        <f t="shared" si="64"/>
        <v>3244800</v>
      </c>
      <c r="BH267" s="17"/>
      <c r="BI267" s="17"/>
    </row>
    <row r="268" spans="1:61" ht="12.75">
      <c r="A268" s="38">
        <v>36138</v>
      </c>
      <c r="B268" s="39" t="s">
        <v>820</v>
      </c>
      <c r="C268" s="40" t="s">
        <v>176</v>
      </c>
      <c r="D268" s="40" t="s">
        <v>821</v>
      </c>
      <c r="E268" s="17"/>
      <c r="F268" s="16">
        <f t="shared" si="41"/>
        <v>0</v>
      </c>
      <c r="G268" s="17"/>
      <c r="H268" s="16">
        <f t="shared" si="42"/>
        <v>0</v>
      </c>
      <c r="I268" s="16"/>
      <c r="J268" s="16">
        <f t="shared" si="43"/>
        <v>0</v>
      </c>
      <c r="K268" s="16"/>
      <c r="L268" s="16">
        <f t="shared" si="44"/>
        <v>0</v>
      </c>
      <c r="M268" s="16">
        <v>399</v>
      </c>
      <c r="N268" s="16">
        <f t="shared" si="45"/>
        <v>3058734</v>
      </c>
      <c r="O268" s="16"/>
      <c r="P268" s="16">
        <f t="shared" si="58"/>
        <v>0</v>
      </c>
      <c r="Q268" s="16">
        <v>399</v>
      </c>
      <c r="R268" s="16">
        <f t="shared" si="65"/>
        <v>11339580</v>
      </c>
      <c r="S268" s="16"/>
      <c r="T268" s="16">
        <f t="shared" si="46"/>
        <v>0</v>
      </c>
      <c r="U268" s="16"/>
      <c r="V268" s="16">
        <f t="shared" si="47"/>
        <v>0</v>
      </c>
      <c r="W268" s="16"/>
      <c r="X268" s="16">
        <f t="shared" si="48"/>
        <v>0</v>
      </c>
      <c r="Y268" s="16"/>
      <c r="Z268" s="16">
        <f t="shared" si="59"/>
        <v>0</v>
      </c>
      <c r="AA268" s="16"/>
      <c r="AB268" s="16">
        <f t="shared" si="49"/>
        <v>0</v>
      </c>
      <c r="AC268" s="16"/>
      <c r="AD268" s="16">
        <f t="shared" si="50"/>
        <v>0</v>
      </c>
      <c r="AE268" s="16"/>
      <c r="AF268" s="16">
        <f t="shared" si="33"/>
        <v>0</v>
      </c>
      <c r="AG268" s="16"/>
      <c r="AH268" s="16">
        <f t="shared" si="51"/>
        <v>0</v>
      </c>
      <c r="AI268" s="16"/>
      <c r="AJ268" s="16">
        <f t="shared" si="52"/>
        <v>0</v>
      </c>
      <c r="AK268" s="16"/>
      <c r="AL268" s="16">
        <f t="shared" si="53"/>
        <v>0</v>
      </c>
      <c r="AM268" s="16"/>
      <c r="AN268" s="16">
        <f t="shared" si="54"/>
        <v>0</v>
      </c>
      <c r="AO268" s="16"/>
      <c r="AP268" s="16">
        <f t="shared" si="55"/>
        <v>0</v>
      </c>
      <c r="AQ268" s="16"/>
      <c r="AR268" s="16">
        <f t="shared" si="60"/>
        <v>0</v>
      </c>
      <c r="AS268" s="16"/>
      <c r="AT268" s="16">
        <f t="shared" si="56"/>
        <v>0</v>
      </c>
      <c r="AU268" s="16"/>
      <c r="AV268" s="16">
        <f t="shared" si="37"/>
        <v>0</v>
      </c>
      <c r="AW268" s="16"/>
      <c r="AX268" s="16">
        <f t="shared" si="38"/>
        <v>0</v>
      </c>
      <c r="AY268" s="16"/>
      <c r="AZ268" s="16">
        <f t="shared" si="61"/>
        <v>0</v>
      </c>
      <c r="BA268" s="16"/>
      <c r="BB268" s="16">
        <f t="shared" si="57"/>
        <v>0</v>
      </c>
      <c r="BC268" s="11">
        <f t="shared" si="63"/>
        <v>14398314</v>
      </c>
      <c r="BD268" s="17"/>
      <c r="BE268" s="17"/>
      <c r="BF268" s="17">
        <v>133</v>
      </c>
      <c r="BG268" s="16">
        <f t="shared" si="64"/>
        <v>2877056</v>
      </c>
      <c r="BH268" s="17"/>
      <c r="BI268" s="17"/>
    </row>
    <row r="269" spans="1:61" ht="12.75">
      <c r="A269" s="38">
        <v>36139</v>
      </c>
      <c r="B269" s="39" t="s">
        <v>203</v>
      </c>
      <c r="C269" s="40" t="s">
        <v>794</v>
      </c>
      <c r="D269" s="40" t="s">
        <v>821</v>
      </c>
      <c r="E269" s="17">
        <v>210</v>
      </c>
      <c r="F269" s="16">
        <f t="shared" si="41"/>
        <v>82824</v>
      </c>
      <c r="G269" s="17">
        <v>140</v>
      </c>
      <c r="H269" s="16">
        <f t="shared" si="42"/>
        <v>68208</v>
      </c>
      <c r="I269" s="16">
        <v>70</v>
      </c>
      <c r="J269" s="16">
        <f t="shared" si="43"/>
        <v>311808</v>
      </c>
      <c r="K269" s="16"/>
      <c r="L269" s="16">
        <f t="shared" si="44"/>
        <v>0</v>
      </c>
      <c r="M269" s="16"/>
      <c r="N269" s="16">
        <f t="shared" si="45"/>
        <v>0</v>
      </c>
      <c r="O269" s="16"/>
      <c r="P269" s="16">
        <f t="shared" si="58"/>
        <v>0</v>
      </c>
      <c r="Q269" s="16">
        <v>210</v>
      </c>
      <c r="R269" s="16">
        <f t="shared" si="65"/>
        <v>5968200</v>
      </c>
      <c r="S269" s="16">
        <v>70</v>
      </c>
      <c r="T269" s="16">
        <f t="shared" si="46"/>
        <v>117740</v>
      </c>
      <c r="U269" s="16">
        <v>70</v>
      </c>
      <c r="V269" s="16">
        <f t="shared" si="47"/>
        <v>110432</v>
      </c>
      <c r="W269" s="16">
        <v>210</v>
      </c>
      <c r="X269" s="16">
        <f t="shared" si="48"/>
        <v>153468</v>
      </c>
      <c r="Y269" s="16"/>
      <c r="Z269" s="16">
        <f t="shared" si="59"/>
        <v>0</v>
      </c>
      <c r="AA269" s="16"/>
      <c r="AB269" s="16">
        <f t="shared" si="49"/>
        <v>0</v>
      </c>
      <c r="AC269" s="16">
        <v>70</v>
      </c>
      <c r="AD269" s="16">
        <f t="shared" si="50"/>
        <v>45472</v>
      </c>
      <c r="AE269" s="16"/>
      <c r="AF269" s="16">
        <f t="shared" si="33"/>
        <v>0</v>
      </c>
      <c r="AG269" s="16">
        <v>70</v>
      </c>
      <c r="AH269" s="16">
        <f t="shared" si="51"/>
        <v>420616</v>
      </c>
      <c r="AI269" s="16"/>
      <c r="AJ269" s="16">
        <f t="shared" si="52"/>
        <v>0</v>
      </c>
      <c r="AK269" s="16">
        <v>70</v>
      </c>
      <c r="AL269" s="16">
        <f t="shared" si="53"/>
        <v>4060</v>
      </c>
      <c r="AM269" s="16"/>
      <c r="AN269" s="16">
        <f t="shared" si="54"/>
        <v>0</v>
      </c>
      <c r="AO269" s="16">
        <v>210</v>
      </c>
      <c r="AP269" s="16">
        <f t="shared" si="55"/>
        <v>108150</v>
      </c>
      <c r="AQ269" s="16"/>
      <c r="AR269" s="16">
        <f t="shared" si="60"/>
        <v>0</v>
      </c>
      <c r="AS269" s="16">
        <v>210</v>
      </c>
      <c r="AT269" s="16">
        <f t="shared" si="56"/>
        <v>68208</v>
      </c>
      <c r="AU269" s="16"/>
      <c r="AV269" s="16">
        <f t="shared" si="37"/>
        <v>0</v>
      </c>
      <c r="AW269" s="16"/>
      <c r="AX269" s="16">
        <f t="shared" si="38"/>
        <v>0</v>
      </c>
      <c r="AY269" s="16"/>
      <c r="AZ269" s="16">
        <f t="shared" si="61"/>
        <v>0</v>
      </c>
      <c r="BA269" s="16"/>
      <c r="BB269" s="16">
        <f t="shared" si="57"/>
        <v>0</v>
      </c>
      <c r="BC269" s="11">
        <f t="shared" si="63"/>
        <v>7459186</v>
      </c>
      <c r="BD269" s="17"/>
      <c r="BE269" s="17"/>
      <c r="BF269" s="17">
        <v>70</v>
      </c>
      <c r="BG269" s="16">
        <f t="shared" si="64"/>
        <v>1514240</v>
      </c>
      <c r="BH269" s="17"/>
      <c r="BI269" s="17"/>
    </row>
    <row r="270" spans="1:61" ht="12.75">
      <c r="A270" s="38">
        <v>36147</v>
      </c>
      <c r="B270" s="39" t="s">
        <v>13</v>
      </c>
      <c r="C270" s="40" t="s">
        <v>382</v>
      </c>
      <c r="D270" s="40" t="s">
        <v>821</v>
      </c>
      <c r="E270" s="17"/>
      <c r="F270" s="16">
        <f t="shared" si="41"/>
        <v>0</v>
      </c>
      <c r="G270" s="17"/>
      <c r="H270" s="16">
        <f t="shared" si="42"/>
        <v>0</v>
      </c>
      <c r="I270" s="16"/>
      <c r="J270" s="16">
        <f t="shared" si="43"/>
        <v>0</v>
      </c>
      <c r="K270" s="16"/>
      <c r="L270" s="16">
        <f t="shared" si="44"/>
        <v>0</v>
      </c>
      <c r="M270" s="16"/>
      <c r="N270" s="16">
        <f t="shared" si="45"/>
        <v>0</v>
      </c>
      <c r="O270" s="16"/>
      <c r="P270" s="16">
        <f t="shared" si="58"/>
        <v>0</v>
      </c>
      <c r="Q270" s="16"/>
      <c r="R270" s="16">
        <f t="shared" si="65"/>
        <v>0</v>
      </c>
      <c r="S270" s="16"/>
      <c r="T270" s="16">
        <f t="shared" si="46"/>
        <v>0</v>
      </c>
      <c r="U270" s="16"/>
      <c r="V270" s="16">
        <f t="shared" si="47"/>
        <v>0</v>
      </c>
      <c r="W270" s="16"/>
      <c r="X270" s="16">
        <f t="shared" si="48"/>
        <v>0</v>
      </c>
      <c r="Y270" s="16"/>
      <c r="Z270" s="16">
        <f t="shared" si="59"/>
        <v>0</v>
      </c>
      <c r="AA270" s="16"/>
      <c r="AB270" s="16">
        <f t="shared" si="49"/>
        <v>0</v>
      </c>
      <c r="AC270" s="16"/>
      <c r="AD270" s="16">
        <f t="shared" si="50"/>
        <v>0</v>
      </c>
      <c r="AE270" s="16"/>
      <c r="AF270" s="16">
        <f t="shared" si="33"/>
        <v>0</v>
      </c>
      <c r="AG270" s="16"/>
      <c r="AH270" s="16">
        <f t="shared" si="51"/>
        <v>0</v>
      </c>
      <c r="AI270" s="16"/>
      <c r="AJ270" s="16">
        <f t="shared" si="52"/>
        <v>0</v>
      </c>
      <c r="AK270" s="16"/>
      <c r="AL270" s="16">
        <f t="shared" si="53"/>
        <v>0</v>
      </c>
      <c r="AM270" s="16"/>
      <c r="AN270" s="16">
        <f t="shared" si="54"/>
        <v>0</v>
      </c>
      <c r="AO270" s="16"/>
      <c r="AP270" s="16">
        <f t="shared" si="55"/>
        <v>0</v>
      </c>
      <c r="AQ270" s="16"/>
      <c r="AR270" s="16">
        <f t="shared" si="60"/>
        <v>0</v>
      </c>
      <c r="AS270" s="16"/>
      <c r="AT270" s="16">
        <f t="shared" si="56"/>
        <v>0</v>
      </c>
      <c r="AU270" s="16"/>
      <c r="AV270" s="16">
        <f t="shared" si="37"/>
        <v>0</v>
      </c>
      <c r="AW270" s="16"/>
      <c r="AX270" s="16">
        <f t="shared" si="38"/>
        <v>0</v>
      </c>
      <c r="AY270" s="16"/>
      <c r="AZ270" s="16">
        <f t="shared" si="61"/>
        <v>0</v>
      </c>
      <c r="BA270" s="16"/>
      <c r="BB270" s="16">
        <f t="shared" si="57"/>
        <v>0</v>
      </c>
      <c r="BC270" s="11">
        <f t="shared" si="63"/>
        <v>0</v>
      </c>
      <c r="BD270" s="17"/>
      <c r="BE270" s="17"/>
      <c r="BF270" s="17">
        <v>100</v>
      </c>
      <c r="BG270" s="16">
        <f t="shared" si="64"/>
        <v>2163200</v>
      </c>
      <c r="BH270" s="17"/>
      <c r="BI270" s="17"/>
    </row>
    <row r="271" spans="1:61" ht="22.5">
      <c r="A271" s="38">
        <v>36138</v>
      </c>
      <c r="B271" s="39" t="s">
        <v>882</v>
      </c>
      <c r="C271" s="40" t="s">
        <v>138</v>
      </c>
      <c r="D271" s="40" t="s">
        <v>821</v>
      </c>
      <c r="E271" s="17"/>
      <c r="F271" s="16">
        <f t="shared" si="41"/>
        <v>0</v>
      </c>
      <c r="G271" s="17"/>
      <c r="H271" s="16">
        <f t="shared" si="42"/>
        <v>0</v>
      </c>
      <c r="I271" s="16"/>
      <c r="J271" s="16">
        <f t="shared" si="43"/>
        <v>0</v>
      </c>
      <c r="K271" s="16"/>
      <c r="L271" s="16">
        <f t="shared" si="44"/>
        <v>0</v>
      </c>
      <c r="M271" s="16"/>
      <c r="N271" s="16">
        <f t="shared" si="45"/>
        <v>0</v>
      </c>
      <c r="O271" s="16"/>
      <c r="P271" s="16">
        <f t="shared" si="58"/>
        <v>0</v>
      </c>
      <c r="Q271" s="16">
        <v>834</v>
      </c>
      <c r="R271" s="16">
        <f t="shared" si="65"/>
        <v>23702280</v>
      </c>
      <c r="S271" s="16"/>
      <c r="T271" s="16">
        <f t="shared" si="46"/>
        <v>0</v>
      </c>
      <c r="U271" s="16"/>
      <c r="V271" s="16">
        <f t="shared" si="47"/>
        <v>0</v>
      </c>
      <c r="W271" s="16"/>
      <c r="X271" s="16">
        <f t="shared" si="48"/>
        <v>0</v>
      </c>
      <c r="Y271" s="16"/>
      <c r="Z271" s="16">
        <f t="shared" si="59"/>
        <v>0</v>
      </c>
      <c r="AA271" s="16"/>
      <c r="AB271" s="16">
        <f t="shared" si="49"/>
        <v>0</v>
      </c>
      <c r="AC271" s="16"/>
      <c r="AD271" s="16">
        <f t="shared" si="50"/>
        <v>0</v>
      </c>
      <c r="AE271" s="16"/>
      <c r="AF271" s="16">
        <f t="shared" si="33"/>
        <v>0</v>
      </c>
      <c r="AG271" s="16"/>
      <c r="AH271" s="16">
        <f t="shared" si="51"/>
        <v>0</v>
      </c>
      <c r="AI271" s="16"/>
      <c r="AJ271" s="16">
        <f t="shared" si="52"/>
        <v>0</v>
      </c>
      <c r="AK271" s="16"/>
      <c r="AL271" s="16">
        <f t="shared" si="53"/>
        <v>0</v>
      </c>
      <c r="AM271" s="16"/>
      <c r="AN271" s="16">
        <f t="shared" si="54"/>
        <v>0</v>
      </c>
      <c r="AO271" s="16"/>
      <c r="AP271" s="16">
        <f t="shared" si="55"/>
        <v>0</v>
      </c>
      <c r="AQ271" s="16"/>
      <c r="AR271" s="16">
        <f t="shared" si="60"/>
        <v>0</v>
      </c>
      <c r="AS271" s="16"/>
      <c r="AT271" s="16">
        <f t="shared" si="56"/>
        <v>0</v>
      </c>
      <c r="AU271" s="16"/>
      <c r="AV271" s="16">
        <f t="shared" si="37"/>
        <v>0</v>
      </c>
      <c r="AW271" s="16"/>
      <c r="AX271" s="16">
        <f t="shared" si="38"/>
        <v>0</v>
      </c>
      <c r="AY271" s="16"/>
      <c r="AZ271" s="16">
        <f t="shared" si="61"/>
        <v>0</v>
      </c>
      <c r="BA271" s="16"/>
      <c r="BB271" s="16">
        <f t="shared" si="57"/>
        <v>0</v>
      </c>
      <c r="BC271" s="11">
        <f t="shared" si="63"/>
        <v>23702280</v>
      </c>
      <c r="BD271" s="17"/>
      <c r="BE271" s="17"/>
      <c r="BF271" s="17">
        <v>278</v>
      </c>
      <c r="BG271" s="16">
        <f t="shared" si="64"/>
        <v>6013696</v>
      </c>
      <c r="BH271" s="17"/>
      <c r="BI271" s="17"/>
    </row>
    <row r="272" spans="1:61" ht="12.75">
      <c r="A272" s="38">
        <v>36150</v>
      </c>
      <c r="B272" s="39" t="s">
        <v>882</v>
      </c>
      <c r="C272" s="40" t="s">
        <v>883</v>
      </c>
      <c r="D272" s="40" t="s">
        <v>821</v>
      </c>
      <c r="E272" s="17"/>
      <c r="F272" s="16">
        <f t="shared" si="41"/>
        <v>0</v>
      </c>
      <c r="G272" s="17"/>
      <c r="H272" s="16">
        <f t="shared" si="42"/>
        <v>0</v>
      </c>
      <c r="I272" s="16"/>
      <c r="J272" s="16">
        <f t="shared" si="43"/>
        <v>0</v>
      </c>
      <c r="K272" s="16"/>
      <c r="L272" s="16">
        <f t="shared" si="44"/>
        <v>0</v>
      </c>
      <c r="M272" s="16"/>
      <c r="N272" s="16">
        <f t="shared" si="45"/>
        <v>0</v>
      </c>
      <c r="O272" s="16"/>
      <c r="P272" s="16">
        <f t="shared" si="58"/>
        <v>0</v>
      </c>
      <c r="Q272" s="16"/>
      <c r="R272" s="16">
        <f t="shared" si="65"/>
        <v>0</v>
      </c>
      <c r="S272" s="16"/>
      <c r="T272" s="16">
        <f t="shared" si="46"/>
        <v>0</v>
      </c>
      <c r="U272" s="16"/>
      <c r="V272" s="16">
        <f t="shared" si="47"/>
        <v>0</v>
      </c>
      <c r="W272" s="16"/>
      <c r="X272" s="16">
        <f t="shared" si="48"/>
        <v>0</v>
      </c>
      <c r="Y272" s="16"/>
      <c r="Z272" s="16">
        <f t="shared" si="59"/>
        <v>0</v>
      </c>
      <c r="AA272" s="16"/>
      <c r="AB272" s="16">
        <f t="shared" si="49"/>
        <v>0</v>
      </c>
      <c r="AC272" s="16"/>
      <c r="AD272" s="16">
        <f t="shared" si="50"/>
        <v>0</v>
      </c>
      <c r="AE272" s="16"/>
      <c r="AF272" s="16">
        <f t="shared" si="33"/>
        <v>0</v>
      </c>
      <c r="AG272" s="16"/>
      <c r="AH272" s="16">
        <f t="shared" si="51"/>
        <v>0</v>
      </c>
      <c r="AI272" s="16"/>
      <c r="AJ272" s="16">
        <f t="shared" si="52"/>
        <v>0</v>
      </c>
      <c r="AK272" s="16"/>
      <c r="AL272" s="16">
        <f t="shared" si="53"/>
        <v>0</v>
      </c>
      <c r="AM272" s="16"/>
      <c r="AN272" s="16">
        <f t="shared" si="54"/>
        <v>0</v>
      </c>
      <c r="AO272" s="16"/>
      <c r="AP272" s="16">
        <f t="shared" si="55"/>
        <v>0</v>
      </c>
      <c r="AQ272" s="16"/>
      <c r="AR272" s="16">
        <f t="shared" si="60"/>
        <v>0</v>
      </c>
      <c r="AS272" s="16"/>
      <c r="AT272" s="16">
        <f t="shared" si="56"/>
        <v>0</v>
      </c>
      <c r="AU272" s="16"/>
      <c r="AV272" s="16">
        <f t="shared" si="37"/>
        <v>0</v>
      </c>
      <c r="AW272" s="16"/>
      <c r="AX272" s="16">
        <f t="shared" si="38"/>
        <v>0</v>
      </c>
      <c r="AY272" s="16"/>
      <c r="AZ272" s="16">
        <f t="shared" si="61"/>
        <v>0</v>
      </c>
      <c r="BA272" s="16"/>
      <c r="BB272" s="16">
        <f t="shared" si="57"/>
        <v>0</v>
      </c>
      <c r="BC272" s="11">
        <f t="shared" si="63"/>
        <v>0</v>
      </c>
      <c r="BD272" s="17">
        <v>10000</v>
      </c>
      <c r="BE272" s="17">
        <f>10000*440.8</f>
        <v>4408000</v>
      </c>
      <c r="BF272" s="17"/>
      <c r="BG272" s="16">
        <f t="shared" si="64"/>
        <v>0</v>
      </c>
      <c r="BH272" s="17"/>
      <c r="BI272" s="17"/>
    </row>
    <row r="273" spans="1:61" ht="12.75">
      <c r="A273" s="38">
        <v>36153</v>
      </c>
      <c r="B273" s="39" t="s">
        <v>877</v>
      </c>
      <c r="C273" s="40" t="s">
        <v>875</v>
      </c>
      <c r="D273" s="40" t="s">
        <v>821</v>
      </c>
      <c r="E273" s="17"/>
      <c r="F273" s="16">
        <f t="shared" si="41"/>
        <v>0</v>
      </c>
      <c r="G273" s="17"/>
      <c r="H273" s="16">
        <f t="shared" si="42"/>
        <v>0</v>
      </c>
      <c r="I273" s="16"/>
      <c r="J273" s="16">
        <f t="shared" si="43"/>
        <v>0</v>
      </c>
      <c r="K273" s="16"/>
      <c r="L273" s="16">
        <f t="shared" si="44"/>
        <v>0</v>
      </c>
      <c r="M273" s="16"/>
      <c r="N273" s="16">
        <f t="shared" si="45"/>
        <v>0</v>
      </c>
      <c r="O273" s="16"/>
      <c r="P273" s="16">
        <f t="shared" si="58"/>
        <v>0</v>
      </c>
      <c r="Q273" s="16"/>
      <c r="R273" s="16">
        <f t="shared" si="65"/>
        <v>0</v>
      </c>
      <c r="S273" s="16"/>
      <c r="T273" s="16">
        <f t="shared" si="46"/>
        <v>0</v>
      </c>
      <c r="U273" s="16"/>
      <c r="V273" s="16">
        <f t="shared" si="47"/>
        <v>0</v>
      </c>
      <c r="W273" s="16"/>
      <c r="X273" s="16">
        <f t="shared" si="48"/>
        <v>0</v>
      </c>
      <c r="Y273" s="16"/>
      <c r="Z273" s="16">
        <f t="shared" si="59"/>
        <v>0</v>
      </c>
      <c r="AA273" s="16"/>
      <c r="AB273" s="16">
        <f t="shared" si="49"/>
        <v>0</v>
      </c>
      <c r="AC273" s="16"/>
      <c r="AD273" s="16">
        <f t="shared" si="50"/>
        <v>0</v>
      </c>
      <c r="AE273" s="16"/>
      <c r="AF273" s="16">
        <f t="shared" si="33"/>
        <v>0</v>
      </c>
      <c r="AG273" s="16"/>
      <c r="AH273" s="16">
        <f t="shared" si="51"/>
        <v>0</v>
      </c>
      <c r="AI273" s="16"/>
      <c r="AJ273" s="16">
        <f t="shared" si="52"/>
        <v>0</v>
      </c>
      <c r="AK273" s="16"/>
      <c r="AL273" s="16">
        <f t="shared" si="53"/>
        <v>0</v>
      </c>
      <c r="AM273" s="16"/>
      <c r="AN273" s="16">
        <f t="shared" si="54"/>
        <v>0</v>
      </c>
      <c r="AO273" s="16"/>
      <c r="AP273" s="16">
        <f t="shared" si="55"/>
        <v>0</v>
      </c>
      <c r="AQ273" s="16"/>
      <c r="AR273" s="16">
        <f t="shared" si="60"/>
        <v>0</v>
      </c>
      <c r="AS273" s="16"/>
      <c r="AT273" s="16">
        <f t="shared" si="56"/>
        <v>0</v>
      </c>
      <c r="AU273" s="16"/>
      <c r="AV273" s="16">
        <f t="shared" si="37"/>
        <v>0</v>
      </c>
      <c r="AW273" s="16"/>
      <c r="AX273" s="16">
        <f t="shared" si="38"/>
        <v>0</v>
      </c>
      <c r="AY273" s="16"/>
      <c r="AZ273" s="16">
        <f t="shared" si="61"/>
        <v>0</v>
      </c>
      <c r="BA273" s="16"/>
      <c r="BB273" s="16">
        <f t="shared" si="57"/>
        <v>0</v>
      </c>
      <c r="BC273" s="11">
        <f t="shared" si="63"/>
        <v>0</v>
      </c>
      <c r="BD273" s="17">
        <v>6800</v>
      </c>
      <c r="BE273" s="17">
        <f>6800*440.8</f>
        <v>2997440</v>
      </c>
      <c r="BF273" s="17"/>
      <c r="BG273" s="16">
        <f t="shared" si="64"/>
        <v>0</v>
      </c>
      <c r="BH273" s="17"/>
      <c r="BI273" s="17"/>
    </row>
    <row r="274" spans="1:61" ht="12.75">
      <c r="A274" s="38">
        <v>36156</v>
      </c>
      <c r="B274" s="39" t="s">
        <v>203</v>
      </c>
      <c r="C274" s="40" t="s">
        <v>796</v>
      </c>
      <c r="D274" s="40" t="s">
        <v>707</v>
      </c>
      <c r="E274" s="17">
        <v>90</v>
      </c>
      <c r="F274" s="16">
        <f t="shared" si="41"/>
        <v>35496</v>
      </c>
      <c r="G274" s="17">
        <v>60</v>
      </c>
      <c r="H274" s="16">
        <f t="shared" si="42"/>
        <v>29232</v>
      </c>
      <c r="I274" s="16">
        <v>30</v>
      </c>
      <c r="J274" s="16">
        <f t="shared" si="43"/>
        <v>133632</v>
      </c>
      <c r="K274" s="16"/>
      <c r="L274" s="16">
        <f t="shared" si="44"/>
        <v>0</v>
      </c>
      <c r="M274" s="16"/>
      <c r="N274" s="16">
        <f t="shared" si="45"/>
        <v>0</v>
      </c>
      <c r="O274" s="16"/>
      <c r="P274" s="16">
        <f t="shared" si="58"/>
        <v>0</v>
      </c>
      <c r="Q274" s="16">
        <v>90</v>
      </c>
      <c r="R274" s="16">
        <f t="shared" si="65"/>
        <v>2557800</v>
      </c>
      <c r="S274" s="16">
        <v>30</v>
      </c>
      <c r="T274" s="16">
        <f t="shared" si="46"/>
        <v>50460</v>
      </c>
      <c r="U274" s="16">
        <v>30</v>
      </c>
      <c r="V274" s="16">
        <f t="shared" si="47"/>
        <v>47328</v>
      </c>
      <c r="W274" s="16">
        <v>90</v>
      </c>
      <c r="X274" s="16">
        <f t="shared" si="48"/>
        <v>65772</v>
      </c>
      <c r="Y274" s="16"/>
      <c r="Z274" s="16">
        <f t="shared" si="59"/>
        <v>0</v>
      </c>
      <c r="AA274" s="16"/>
      <c r="AB274" s="16">
        <f t="shared" si="49"/>
        <v>0</v>
      </c>
      <c r="AC274" s="16">
        <v>30</v>
      </c>
      <c r="AD274" s="16">
        <f t="shared" si="50"/>
        <v>19488</v>
      </c>
      <c r="AE274" s="16"/>
      <c r="AF274" s="16">
        <f t="shared" si="33"/>
        <v>0</v>
      </c>
      <c r="AG274" s="16">
        <v>30</v>
      </c>
      <c r="AH274" s="16">
        <f t="shared" si="51"/>
        <v>180264</v>
      </c>
      <c r="AI274" s="16"/>
      <c r="AJ274" s="16">
        <f t="shared" si="52"/>
        <v>0</v>
      </c>
      <c r="AK274" s="16">
        <v>30</v>
      </c>
      <c r="AL274" s="16">
        <f t="shared" si="53"/>
        <v>1740</v>
      </c>
      <c r="AM274" s="16"/>
      <c r="AN274" s="16">
        <f t="shared" si="54"/>
        <v>0</v>
      </c>
      <c r="AO274" s="16">
        <v>90</v>
      </c>
      <c r="AP274" s="16">
        <f t="shared" si="55"/>
        <v>46350</v>
      </c>
      <c r="AQ274" s="16"/>
      <c r="AR274" s="16">
        <f t="shared" si="60"/>
        <v>0</v>
      </c>
      <c r="AS274" s="16">
        <v>90</v>
      </c>
      <c r="AT274" s="16">
        <f t="shared" si="56"/>
        <v>29232</v>
      </c>
      <c r="AU274" s="16"/>
      <c r="AV274" s="16">
        <f t="shared" si="37"/>
        <v>0</v>
      </c>
      <c r="AW274" s="16"/>
      <c r="AX274" s="16">
        <f t="shared" si="38"/>
        <v>0</v>
      </c>
      <c r="AY274" s="16"/>
      <c r="AZ274" s="16">
        <f t="shared" si="61"/>
        <v>0</v>
      </c>
      <c r="BA274" s="16"/>
      <c r="BB274" s="16">
        <f t="shared" si="57"/>
        <v>0</v>
      </c>
      <c r="BC274" s="11">
        <f t="shared" si="63"/>
        <v>3196794</v>
      </c>
      <c r="BD274" s="17"/>
      <c r="BE274" s="17"/>
      <c r="BF274" s="17">
        <v>30</v>
      </c>
      <c r="BG274" s="16">
        <f t="shared" si="64"/>
        <v>648960</v>
      </c>
      <c r="BH274" s="17"/>
      <c r="BI274" s="17"/>
    </row>
    <row r="275" spans="1:61" ht="12.75">
      <c r="A275" s="38">
        <v>36144</v>
      </c>
      <c r="B275" s="39" t="s">
        <v>100</v>
      </c>
      <c r="C275" s="40" t="s">
        <v>784</v>
      </c>
      <c r="D275" s="40" t="s">
        <v>821</v>
      </c>
      <c r="E275" s="17">
        <v>96</v>
      </c>
      <c r="F275" s="16">
        <f t="shared" si="41"/>
        <v>37862.399999999994</v>
      </c>
      <c r="G275" s="17">
        <v>64</v>
      </c>
      <c r="H275" s="16">
        <f t="shared" si="42"/>
        <v>31180.8</v>
      </c>
      <c r="I275" s="16">
        <v>32</v>
      </c>
      <c r="J275" s="16">
        <f t="shared" si="43"/>
        <v>142540.8</v>
      </c>
      <c r="K275" s="16"/>
      <c r="L275" s="16">
        <f t="shared" si="44"/>
        <v>0</v>
      </c>
      <c r="M275" s="16"/>
      <c r="N275" s="16">
        <f t="shared" si="45"/>
        <v>0</v>
      </c>
      <c r="O275" s="16"/>
      <c r="P275" s="16">
        <f t="shared" si="58"/>
        <v>0</v>
      </c>
      <c r="Q275" s="16">
        <v>96</v>
      </c>
      <c r="R275" s="16">
        <f t="shared" si="65"/>
        <v>2728320</v>
      </c>
      <c r="S275" s="16">
        <v>32</v>
      </c>
      <c r="T275" s="16">
        <f t="shared" si="46"/>
        <v>53824</v>
      </c>
      <c r="U275" s="16">
        <v>32</v>
      </c>
      <c r="V275" s="16">
        <f t="shared" si="47"/>
        <v>50483.2</v>
      </c>
      <c r="W275" s="16"/>
      <c r="X275" s="16">
        <f t="shared" si="48"/>
        <v>0</v>
      </c>
      <c r="Y275" s="16">
        <v>32</v>
      </c>
      <c r="Z275" s="16">
        <f t="shared" si="59"/>
        <v>188384</v>
      </c>
      <c r="AA275" s="16"/>
      <c r="AB275" s="16">
        <f t="shared" si="49"/>
        <v>0</v>
      </c>
      <c r="AC275" s="16">
        <v>32</v>
      </c>
      <c r="AD275" s="16">
        <f t="shared" si="50"/>
        <v>20787.2</v>
      </c>
      <c r="AE275" s="16">
        <v>96</v>
      </c>
      <c r="AF275" s="16">
        <f t="shared" si="33"/>
        <v>522278.39999999997</v>
      </c>
      <c r="AG275" s="16">
        <v>32</v>
      </c>
      <c r="AH275" s="16">
        <f t="shared" si="51"/>
        <v>192281.6</v>
      </c>
      <c r="AI275" s="16"/>
      <c r="AJ275" s="16">
        <f t="shared" si="52"/>
        <v>0</v>
      </c>
      <c r="AK275" s="16">
        <v>32</v>
      </c>
      <c r="AL275" s="16">
        <f t="shared" si="53"/>
        <v>1856</v>
      </c>
      <c r="AM275" s="16"/>
      <c r="AN275" s="16">
        <f t="shared" si="54"/>
        <v>0</v>
      </c>
      <c r="AO275" s="16">
        <v>96</v>
      </c>
      <c r="AP275" s="16">
        <f t="shared" si="55"/>
        <v>49440</v>
      </c>
      <c r="AQ275" s="16"/>
      <c r="AR275" s="16">
        <f t="shared" si="60"/>
        <v>0</v>
      </c>
      <c r="AS275" s="16">
        <v>96</v>
      </c>
      <c r="AT275" s="16">
        <f t="shared" si="56"/>
        <v>31180.800000000003</v>
      </c>
      <c r="AU275" s="16"/>
      <c r="AV275" s="16">
        <f t="shared" si="37"/>
        <v>0</v>
      </c>
      <c r="AW275" s="16">
        <v>96</v>
      </c>
      <c r="AX275" s="16">
        <f t="shared" si="38"/>
        <v>1080192</v>
      </c>
      <c r="AY275" s="16">
        <v>32</v>
      </c>
      <c r="AZ275" s="16">
        <f t="shared" si="61"/>
        <v>103344.96</v>
      </c>
      <c r="BA275" s="16"/>
      <c r="BB275" s="16">
        <f t="shared" si="57"/>
        <v>0</v>
      </c>
      <c r="BC275" s="11">
        <f t="shared" si="63"/>
        <v>5233956.16</v>
      </c>
      <c r="BD275" s="17"/>
      <c r="BE275" s="17"/>
      <c r="BF275" s="17">
        <v>32</v>
      </c>
      <c r="BG275" s="16">
        <f>+BF275*21632</f>
        <v>692224</v>
      </c>
      <c r="BH275" s="17"/>
      <c r="BI275" s="17"/>
    </row>
    <row r="276" spans="1:61" ht="12.75">
      <c r="A276" s="55"/>
      <c r="B276" s="55"/>
      <c r="C276" s="55"/>
      <c r="D276" s="55"/>
      <c r="E276" s="17"/>
      <c r="F276" s="16">
        <f t="shared" si="41"/>
        <v>0</v>
      </c>
      <c r="G276" s="17"/>
      <c r="H276" s="16">
        <f t="shared" si="42"/>
        <v>0</v>
      </c>
      <c r="I276" s="16"/>
      <c r="J276" s="16">
        <f t="shared" si="43"/>
        <v>0</v>
      </c>
      <c r="K276" s="16"/>
      <c r="L276" s="16">
        <f t="shared" si="44"/>
        <v>0</v>
      </c>
      <c r="M276" s="16"/>
      <c r="N276" s="16">
        <f t="shared" si="45"/>
        <v>0</v>
      </c>
      <c r="O276" s="16"/>
      <c r="P276" s="16">
        <f t="shared" si="58"/>
        <v>0</v>
      </c>
      <c r="Q276" s="16"/>
      <c r="R276" s="16">
        <f t="shared" si="65"/>
        <v>0</v>
      </c>
      <c r="S276" s="16"/>
      <c r="T276" s="16">
        <f t="shared" si="46"/>
        <v>0</v>
      </c>
      <c r="U276" s="16"/>
      <c r="V276" s="16">
        <f t="shared" si="47"/>
        <v>0</v>
      </c>
      <c r="W276" s="16"/>
      <c r="X276" s="16">
        <f t="shared" si="48"/>
        <v>0</v>
      </c>
      <c r="Y276" s="16"/>
      <c r="Z276" s="16">
        <f t="shared" si="59"/>
        <v>0</v>
      </c>
      <c r="AA276" s="16"/>
      <c r="AB276" s="16">
        <f t="shared" si="49"/>
        <v>0</v>
      </c>
      <c r="AC276" s="16"/>
      <c r="AD276" s="16">
        <f t="shared" si="50"/>
        <v>0</v>
      </c>
      <c r="AE276" s="16"/>
      <c r="AF276" s="16">
        <f t="shared" si="33"/>
        <v>0</v>
      </c>
      <c r="AG276" s="16"/>
      <c r="AH276" s="16">
        <f t="shared" si="51"/>
        <v>0</v>
      </c>
      <c r="AI276" s="16"/>
      <c r="AJ276" s="16">
        <f t="shared" si="52"/>
        <v>0</v>
      </c>
      <c r="AK276" s="16"/>
      <c r="AL276" s="16">
        <f t="shared" si="53"/>
        <v>0</v>
      </c>
      <c r="AM276" s="16"/>
      <c r="AN276" s="16">
        <f t="shared" si="54"/>
        <v>0</v>
      </c>
      <c r="AO276" s="16"/>
      <c r="AP276" s="16">
        <f t="shared" si="55"/>
        <v>0</v>
      </c>
      <c r="AQ276" s="16"/>
      <c r="AR276" s="16">
        <f t="shared" si="60"/>
        <v>0</v>
      </c>
      <c r="AS276" s="16"/>
      <c r="AT276" s="16">
        <f t="shared" si="56"/>
        <v>0</v>
      </c>
      <c r="AU276" s="16"/>
      <c r="AV276" s="16">
        <f t="shared" si="37"/>
        <v>0</v>
      </c>
      <c r="AW276" s="16"/>
      <c r="AX276" s="16">
        <f t="shared" si="38"/>
        <v>0</v>
      </c>
      <c r="AY276" s="16"/>
      <c r="AZ276" s="16">
        <f t="shared" si="61"/>
        <v>0</v>
      </c>
      <c r="BA276" s="16"/>
      <c r="BB276" s="16">
        <f t="shared" si="57"/>
        <v>0</v>
      </c>
      <c r="BC276" s="11">
        <f t="shared" si="63"/>
        <v>0</v>
      </c>
      <c r="BD276" s="17"/>
      <c r="BE276" s="17"/>
      <c r="BF276" s="17"/>
      <c r="BG276" s="16">
        <f aca="true" t="shared" si="66" ref="BG276:BG282">+BF276*21632</f>
        <v>0</v>
      </c>
      <c r="BH276" s="17"/>
      <c r="BI276" s="17"/>
    </row>
    <row r="277" spans="1:61" ht="12.75">
      <c r="A277" s="55"/>
      <c r="B277" s="55"/>
      <c r="C277" s="55"/>
      <c r="D277" s="55"/>
      <c r="E277" s="17"/>
      <c r="F277" s="16">
        <f t="shared" si="41"/>
        <v>0</v>
      </c>
      <c r="G277" s="17"/>
      <c r="H277" s="16">
        <f t="shared" si="42"/>
        <v>0</v>
      </c>
      <c r="I277" s="16"/>
      <c r="J277" s="16">
        <f t="shared" si="43"/>
        <v>0</v>
      </c>
      <c r="K277" s="16"/>
      <c r="L277" s="16">
        <f t="shared" si="44"/>
        <v>0</v>
      </c>
      <c r="M277" s="16"/>
      <c r="N277" s="16">
        <f t="shared" si="45"/>
        <v>0</v>
      </c>
      <c r="O277" s="16"/>
      <c r="P277" s="16">
        <f t="shared" si="58"/>
        <v>0</v>
      </c>
      <c r="Q277" s="16"/>
      <c r="R277" s="16">
        <f t="shared" si="65"/>
        <v>0</v>
      </c>
      <c r="S277" s="16"/>
      <c r="T277" s="16">
        <f t="shared" si="46"/>
        <v>0</v>
      </c>
      <c r="U277" s="16"/>
      <c r="V277" s="16">
        <f t="shared" si="47"/>
        <v>0</v>
      </c>
      <c r="W277" s="16"/>
      <c r="X277" s="16">
        <f t="shared" si="48"/>
        <v>0</v>
      </c>
      <c r="Y277" s="16"/>
      <c r="Z277" s="16">
        <f t="shared" si="59"/>
        <v>0</v>
      </c>
      <c r="AA277" s="16"/>
      <c r="AB277" s="16">
        <f t="shared" si="49"/>
        <v>0</v>
      </c>
      <c r="AC277" s="16"/>
      <c r="AD277" s="16">
        <f t="shared" si="50"/>
        <v>0</v>
      </c>
      <c r="AE277" s="16"/>
      <c r="AF277" s="16">
        <f t="shared" si="33"/>
        <v>0</v>
      </c>
      <c r="AG277" s="16"/>
      <c r="AH277" s="16">
        <f t="shared" si="51"/>
        <v>0</v>
      </c>
      <c r="AI277" s="16"/>
      <c r="AJ277" s="16">
        <f t="shared" si="52"/>
        <v>0</v>
      </c>
      <c r="AK277" s="16"/>
      <c r="AL277" s="16">
        <f t="shared" si="53"/>
        <v>0</v>
      </c>
      <c r="AM277" s="16"/>
      <c r="AN277" s="16">
        <f t="shared" si="54"/>
        <v>0</v>
      </c>
      <c r="AO277" s="16"/>
      <c r="AP277" s="16">
        <f t="shared" si="55"/>
        <v>0</v>
      </c>
      <c r="AQ277" s="16"/>
      <c r="AR277" s="16">
        <f t="shared" si="60"/>
        <v>0</v>
      </c>
      <c r="AS277" s="16"/>
      <c r="AT277" s="16">
        <f t="shared" si="56"/>
        <v>0</v>
      </c>
      <c r="AU277" s="16"/>
      <c r="AV277" s="16">
        <f t="shared" si="37"/>
        <v>0</v>
      </c>
      <c r="AW277" s="16"/>
      <c r="AX277" s="16">
        <f t="shared" si="38"/>
        <v>0</v>
      </c>
      <c r="AY277" s="16"/>
      <c r="AZ277" s="16">
        <f t="shared" si="61"/>
        <v>0</v>
      </c>
      <c r="BA277" s="16"/>
      <c r="BB277" s="16">
        <f t="shared" si="57"/>
        <v>0</v>
      </c>
      <c r="BC277" s="11">
        <f t="shared" si="63"/>
        <v>0</v>
      </c>
      <c r="BD277" s="17"/>
      <c r="BE277" s="17"/>
      <c r="BF277" s="17"/>
      <c r="BG277" s="16">
        <f t="shared" si="66"/>
        <v>0</v>
      </c>
      <c r="BH277" s="17"/>
      <c r="BI277" s="17"/>
    </row>
    <row r="278" spans="1:61" ht="12.75">
      <c r="A278" s="55"/>
      <c r="B278" s="55"/>
      <c r="C278" s="55"/>
      <c r="D278" s="55"/>
      <c r="E278" s="17"/>
      <c r="F278" s="16">
        <f t="shared" si="41"/>
        <v>0</v>
      </c>
      <c r="G278" s="17"/>
      <c r="H278" s="16">
        <f t="shared" si="42"/>
        <v>0</v>
      </c>
      <c r="I278" s="16"/>
      <c r="J278" s="16">
        <f t="shared" si="43"/>
        <v>0</v>
      </c>
      <c r="K278" s="16"/>
      <c r="L278" s="16">
        <f t="shared" si="44"/>
        <v>0</v>
      </c>
      <c r="M278" s="16"/>
      <c r="N278" s="16">
        <f t="shared" si="45"/>
        <v>0</v>
      </c>
      <c r="O278" s="16"/>
      <c r="P278" s="16">
        <f t="shared" si="58"/>
        <v>0</v>
      </c>
      <c r="Q278" s="16"/>
      <c r="R278" s="16">
        <f t="shared" si="65"/>
        <v>0</v>
      </c>
      <c r="S278" s="16"/>
      <c r="T278" s="16">
        <f t="shared" si="46"/>
        <v>0</v>
      </c>
      <c r="U278" s="16"/>
      <c r="V278" s="16">
        <f t="shared" si="47"/>
        <v>0</v>
      </c>
      <c r="W278" s="16"/>
      <c r="X278" s="16">
        <f t="shared" si="48"/>
        <v>0</v>
      </c>
      <c r="Y278" s="16"/>
      <c r="Z278" s="16">
        <f t="shared" si="59"/>
        <v>0</v>
      </c>
      <c r="AA278" s="16"/>
      <c r="AB278" s="16">
        <f t="shared" si="49"/>
        <v>0</v>
      </c>
      <c r="AC278" s="16"/>
      <c r="AD278" s="16">
        <f t="shared" si="50"/>
        <v>0</v>
      </c>
      <c r="AE278" s="16"/>
      <c r="AF278" s="16">
        <f t="shared" si="33"/>
        <v>0</v>
      </c>
      <c r="AG278" s="16"/>
      <c r="AH278" s="16">
        <f t="shared" si="51"/>
        <v>0</v>
      </c>
      <c r="AI278" s="16"/>
      <c r="AJ278" s="16">
        <f t="shared" si="52"/>
        <v>0</v>
      </c>
      <c r="AK278" s="16"/>
      <c r="AL278" s="16">
        <f t="shared" si="53"/>
        <v>0</v>
      </c>
      <c r="AM278" s="16"/>
      <c r="AN278" s="16">
        <f t="shared" si="54"/>
        <v>0</v>
      </c>
      <c r="AO278" s="16"/>
      <c r="AP278" s="16">
        <f t="shared" si="55"/>
        <v>0</v>
      </c>
      <c r="AQ278" s="16"/>
      <c r="AR278" s="16">
        <f t="shared" si="60"/>
        <v>0</v>
      </c>
      <c r="AS278" s="16"/>
      <c r="AT278" s="16">
        <f t="shared" si="56"/>
        <v>0</v>
      </c>
      <c r="AU278" s="16"/>
      <c r="AV278" s="16">
        <f t="shared" si="37"/>
        <v>0</v>
      </c>
      <c r="AW278" s="16"/>
      <c r="AX278" s="16">
        <f t="shared" si="38"/>
        <v>0</v>
      </c>
      <c r="AY278" s="16"/>
      <c r="AZ278" s="16">
        <f t="shared" si="61"/>
        <v>0</v>
      </c>
      <c r="BA278" s="16"/>
      <c r="BB278" s="16">
        <f t="shared" si="57"/>
        <v>0</v>
      </c>
      <c r="BC278" s="11">
        <f t="shared" si="63"/>
        <v>0</v>
      </c>
      <c r="BD278" s="17"/>
      <c r="BE278" s="17"/>
      <c r="BF278" s="17"/>
      <c r="BG278" s="16">
        <f t="shared" si="66"/>
        <v>0</v>
      </c>
      <c r="BH278" s="17"/>
      <c r="BI278" s="17"/>
    </row>
    <row r="279" spans="1:61" ht="12.75">
      <c r="A279" s="55"/>
      <c r="B279" s="55"/>
      <c r="C279" s="55"/>
      <c r="D279" s="55"/>
      <c r="E279" s="17"/>
      <c r="F279" s="16">
        <f t="shared" si="41"/>
        <v>0</v>
      </c>
      <c r="G279" s="17"/>
      <c r="H279" s="16">
        <f t="shared" si="42"/>
        <v>0</v>
      </c>
      <c r="I279" s="16"/>
      <c r="J279" s="16">
        <f t="shared" si="43"/>
        <v>0</v>
      </c>
      <c r="K279" s="16"/>
      <c r="L279" s="16">
        <f t="shared" si="44"/>
        <v>0</v>
      </c>
      <c r="M279" s="16"/>
      <c r="N279" s="16">
        <f t="shared" si="45"/>
        <v>0</v>
      </c>
      <c r="O279" s="16"/>
      <c r="P279" s="16">
        <f t="shared" si="58"/>
        <v>0</v>
      </c>
      <c r="Q279" s="16"/>
      <c r="R279" s="16">
        <f t="shared" si="65"/>
        <v>0</v>
      </c>
      <c r="S279" s="16"/>
      <c r="T279" s="16">
        <f t="shared" si="46"/>
        <v>0</v>
      </c>
      <c r="U279" s="16"/>
      <c r="V279" s="16">
        <f t="shared" si="47"/>
        <v>0</v>
      </c>
      <c r="W279" s="16"/>
      <c r="X279" s="16">
        <f t="shared" si="48"/>
        <v>0</v>
      </c>
      <c r="Y279" s="16"/>
      <c r="Z279" s="16">
        <f t="shared" si="59"/>
        <v>0</v>
      </c>
      <c r="AA279" s="16"/>
      <c r="AB279" s="16">
        <f t="shared" si="49"/>
        <v>0</v>
      </c>
      <c r="AC279" s="16"/>
      <c r="AD279" s="16">
        <f t="shared" si="50"/>
        <v>0</v>
      </c>
      <c r="AE279" s="16"/>
      <c r="AF279" s="16">
        <f t="shared" si="33"/>
        <v>0</v>
      </c>
      <c r="AG279" s="16"/>
      <c r="AH279" s="16">
        <f t="shared" si="51"/>
        <v>0</v>
      </c>
      <c r="AI279" s="16"/>
      <c r="AJ279" s="16">
        <f t="shared" si="52"/>
        <v>0</v>
      </c>
      <c r="AK279" s="16"/>
      <c r="AL279" s="16">
        <f t="shared" si="53"/>
        <v>0</v>
      </c>
      <c r="AM279" s="16"/>
      <c r="AN279" s="16">
        <f t="shared" si="54"/>
        <v>0</v>
      </c>
      <c r="AO279" s="16"/>
      <c r="AP279" s="16">
        <f t="shared" si="55"/>
        <v>0</v>
      </c>
      <c r="AQ279" s="16"/>
      <c r="AR279" s="16">
        <f t="shared" si="60"/>
        <v>0</v>
      </c>
      <c r="AS279" s="16"/>
      <c r="AT279" s="16">
        <f t="shared" si="56"/>
        <v>0</v>
      </c>
      <c r="AU279" s="16"/>
      <c r="AV279" s="16">
        <f t="shared" si="37"/>
        <v>0</v>
      </c>
      <c r="AW279" s="16"/>
      <c r="AX279" s="16">
        <f t="shared" si="38"/>
        <v>0</v>
      </c>
      <c r="AY279" s="16"/>
      <c r="AZ279" s="16">
        <f t="shared" si="61"/>
        <v>0</v>
      </c>
      <c r="BA279" s="16"/>
      <c r="BB279" s="16">
        <f t="shared" si="57"/>
        <v>0</v>
      </c>
      <c r="BC279" s="11">
        <f t="shared" si="63"/>
        <v>0</v>
      </c>
      <c r="BD279" s="17"/>
      <c r="BE279" s="17"/>
      <c r="BF279" s="17"/>
      <c r="BG279" s="16">
        <f t="shared" si="66"/>
        <v>0</v>
      </c>
      <c r="BH279" s="17"/>
      <c r="BI279" s="17"/>
    </row>
    <row r="280" spans="1:61" ht="12.75">
      <c r="A280" s="55"/>
      <c r="B280" s="55"/>
      <c r="C280" s="55"/>
      <c r="D280" s="55"/>
      <c r="E280" s="17"/>
      <c r="F280" s="16">
        <f t="shared" si="41"/>
        <v>0</v>
      </c>
      <c r="G280" s="17"/>
      <c r="H280" s="16">
        <f t="shared" si="42"/>
        <v>0</v>
      </c>
      <c r="I280" s="16"/>
      <c r="J280" s="16">
        <f t="shared" si="43"/>
        <v>0</v>
      </c>
      <c r="K280" s="16"/>
      <c r="L280" s="16">
        <f t="shared" si="44"/>
        <v>0</v>
      </c>
      <c r="M280" s="16"/>
      <c r="N280" s="16">
        <f t="shared" si="45"/>
        <v>0</v>
      </c>
      <c r="O280" s="16"/>
      <c r="P280" s="16">
        <f t="shared" si="58"/>
        <v>0</v>
      </c>
      <c r="Q280" s="16"/>
      <c r="R280" s="16">
        <f t="shared" si="65"/>
        <v>0</v>
      </c>
      <c r="S280" s="16"/>
      <c r="T280" s="16">
        <f t="shared" si="46"/>
        <v>0</v>
      </c>
      <c r="U280" s="16"/>
      <c r="V280" s="16">
        <f t="shared" si="47"/>
        <v>0</v>
      </c>
      <c r="W280" s="16"/>
      <c r="X280" s="16">
        <f t="shared" si="48"/>
        <v>0</v>
      </c>
      <c r="Y280" s="16"/>
      <c r="Z280" s="16">
        <f t="shared" si="59"/>
        <v>0</v>
      </c>
      <c r="AA280" s="16"/>
      <c r="AB280" s="16">
        <f t="shared" si="49"/>
        <v>0</v>
      </c>
      <c r="AC280" s="16"/>
      <c r="AD280" s="16">
        <f t="shared" si="50"/>
        <v>0</v>
      </c>
      <c r="AE280" s="16"/>
      <c r="AF280" s="16">
        <f t="shared" si="33"/>
        <v>0</v>
      </c>
      <c r="AG280" s="16"/>
      <c r="AH280" s="16">
        <f t="shared" si="51"/>
        <v>0</v>
      </c>
      <c r="AI280" s="16"/>
      <c r="AJ280" s="16">
        <f t="shared" si="52"/>
        <v>0</v>
      </c>
      <c r="AK280" s="16"/>
      <c r="AL280" s="16">
        <f t="shared" si="53"/>
        <v>0</v>
      </c>
      <c r="AM280" s="16"/>
      <c r="AN280" s="16">
        <f t="shared" si="54"/>
        <v>0</v>
      </c>
      <c r="AO280" s="16"/>
      <c r="AP280" s="16">
        <f t="shared" si="55"/>
        <v>0</v>
      </c>
      <c r="AQ280" s="16"/>
      <c r="AR280" s="16">
        <f t="shared" si="60"/>
        <v>0</v>
      </c>
      <c r="AS280" s="16"/>
      <c r="AT280" s="16">
        <f t="shared" si="56"/>
        <v>0</v>
      </c>
      <c r="AU280" s="16"/>
      <c r="AV280" s="16">
        <f t="shared" si="37"/>
        <v>0</v>
      </c>
      <c r="AW280" s="16"/>
      <c r="AX280" s="16">
        <f t="shared" si="38"/>
        <v>0</v>
      </c>
      <c r="AY280" s="16"/>
      <c r="AZ280" s="16">
        <f t="shared" si="61"/>
        <v>0</v>
      </c>
      <c r="BA280" s="16"/>
      <c r="BB280" s="16">
        <f t="shared" si="57"/>
        <v>0</v>
      </c>
      <c r="BC280" s="11">
        <f t="shared" si="63"/>
        <v>0</v>
      </c>
      <c r="BD280" s="17"/>
      <c r="BE280" s="17"/>
      <c r="BF280" s="17"/>
      <c r="BG280" s="16">
        <f t="shared" si="66"/>
        <v>0</v>
      </c>
      <c r="BH280" s="17"/>
      <c r="BI280" s="17"/>
    </row>
    <row r="281" spans="1:61" ht="12.75">
      <c r="A281" s="55"/>
      <c r="B281" s="55"/>
      <c r="C281" s="55"/>
      <c r="D281" s="55"/>
      <c r="E281" s="17"/>
      <c r="F281" s="16">
        <f t="shared" si="41"/>
        <v>0</v>
      </c>
      <c r="G281" s="17"/>
      <c r="H281" s="16">
        <f t="shared" si="42"/>
        <v>0</v>
      </c>
      <c r="I281" s="16"/>
      <c r="J281" s="16">
        <f t="shared" si="43"/>
        <v>0</v>
      </c>
      <c r="K281" s="16"/>
      <c r="L281" s="16">
        <f t="shared" si="44"/>
        <v>0</v>
      </c>
      <c r="M281" s="16"/>
      <c r="N281" s="16">
        <f t="shared" si="45"/>
        <v>0</v>
      </c>
      <c r="O281" s="16"/>
      <c r="P281" s="16">
        <f t="shared" si="58"/>
        <v>0</v>
      </c>
      <c r="Q281" s="16"/>
      <c r="R281" s="16">
        <f t="shared" si="65"/>
        <v>0</v>
      </c>
      <c r="S281" s="16"/>
      <c r="T281" s="16">
        <f t="shared" si="46"/>
        <v>0</v>
      </c>
      <c r="U281" s="16"/>
      <c r="V281" s="16">
        <f t="shared" si="47"/>
        <v>0</v>
      </c>
      <c r="W281" s="16"/>
      <c r="X281" s="16">
        <f t="shared" si="48"/>
        <v>0</v>
      </c>
      <c r="Y281" s="16"/>
      <c r="Z281" s="16">
        <f t="shared" si="59"/>
        <v>0</v>
      </c>
      <c r="AA281" s="16"/>
      <c r="AB281" s="16">
        <f t="shared" si="49"/>
        <v>0</v>
      </c>
      <c r="AC281" s="16"/>
      <c r="AD281" s="16">
        <f t="shared" si="50"/>
        <v>0</v>
      </c>
      <c r="AE281" s="16"/>
      <c r="AF281" s="16">
        <f t="shared" si="33"/>
        <v>0</v>
      </c>
      <c r="AG281" s="16"/>
      <c r="AH281" s="16">
        <f t="shared" si="51"/>
        <v>0</v>
      </c>
      <c r="AI281" s="16"/>
      <c r="AJ281" s="16">
        <f t="shared" si="52"/>
        <v>0</v>
      </c>
      <c r="AK281" s="16"/>
      <c r="AL281" s="16">
        <f t="shared" si="53"/>
        <v>0</v>
      </c>
      <c r="AM281" s="16"/>
      <c r="AN281" s="16">
        <f t="shared" si="54"/>
        <v>0</v>
      </c>
      <c r="AO281" s="16"/>
      <c r="AP281" s="16">
        <f t="shared" si="55"/>
        <v>0</v>
      </c>
      <c r="AQ281" s="16"/>
      <c r="AR281" s="16">
        <f t="shared" si="60"/>
        <v>0</v>
      </c>
      <c r="AS281" s="16"/>
      <c r="AT281" s="16">
        <f t="shared" si="56"/>
        <v>0</v>
      </c>
      <c r="AU281" s="16"/>
      <c r="AV281" s="16">
        <f t="shared" si="37"/>
        <v>0</v>
      </c>
      <c r="AW281" s="16"/>
      <c r="AX281" s="16">
        <f t="shared" si="38"/>
        <v>0</v>
      </c>
      <c r="AY281" s="16"/>
      <c r="AZ281" s="16">
        <f t="shared" si="61"/>
        <v>0</v>
      </c>
      <c r="BA281" s="16"/>
      <c r="BB281" s="16">
        <f t="shared" si="57"/>
        <v>0</v>
      </c>
      <c r="BC281" s="11">
        <f t="shared" si="63"/>
        <v>0</v>
      </c>
      <c r="BD281" s="17"/>
      <c r="BE281" s="17"/>
      <c r="BF281" s="17"/>
      <c r="BG281" s="16">
        <f t="shared" si="66"/>
        <v>0</v>
      </c>
      <c r="BH281" s="17"/>
      <c r="BI281" s="17"/>
    </row>
    <row r="282" spans="1:61" ht="12.75">
      <c r="A282" s="55"/>
      <c r="B282" s="55"/>
      <c r="C282" s="55"/>
      <c r="D282" s="55"/>
      <c r="E282" s="17"/>
      <c r="F282" s="16">
        <f t="shared" si="41"/>
        <v>0</v>
      </c>
      <c r="G282" s="17"/>
      <c r="H282" s="16">
        <f t="shared" si="42"/>
        <v>0</v>
      </c>
      <c r="I282" s="16"/>
      <c r="J282" s="16">
        <f t="shared" si="43"/>
        <v>0</v>
      </c>
      <c r="K282" s="16"/>
      <c r="L282" s="16">
        <f t="shared" si="44"/>
        <v>0</v>
      </c>
      <c r="M282" s="16"/>
      <c r="N282" s="16">
        <f t="shared" si="45"/>
        <v>0</v>
      </c>
      <c r="O282" s="16"/>
      <c r="P282" s="16">
        <f t="shared" si="58"/>
        <v>0</v>
      </c>
      <c r="Q282" s="16"/>
      <c r="R282" s="16">
        <f t="shared" si="65"/>
        <v>0</v>
      </c>
      <c r="S282" s="16"/>
      <c r="T282" s="16">
        <f t="shared" si="46"/>
        <v>0</v>
      </c>
      <c r="U282" s="16"/>
      <c r="V282" s="16">
        <f t="shared" si="47"/>
        <v>0</v>
      </c>
      <c r="W282" s="16"/>
      <c r="X282" s="16">
        <f t="shared" si="48"/>
        <v>0</v>
      </c>
      <c r="Y282" s="16"/>
      <c r="Z282" s="16">
        <f t="shared" si="59"/>
        <v>0</v>
      </c>
      <c r="AA282" s="16"/>
      <c r="AB282" s="16">
        <f t="shared" si="49"/>
        <v>0</v>
      </c>
      <c r="AC282" s="16"/>
      <c r="AD282" s="16">
        <f t="shared" si="50"/>
        <v>0</v>
      </c>
      <c r="AE282" s="16"/>
      <c r="AF282" s="16">
        <f t="shared" si="33"/>
        <v>0</v>
      </c>
      <c r="AG282" s="16"/>
      <c r="AH282" s="16">
        <f t="shared" si="51"/>
        <v>0</v>
      </c>
      <c r="AI282" s="16"/>
      <c r="AJ282" s="16">
        <f t="shared" si="52"/>
        <v>0</v>
      </c>
      <c r="AK282" s="16"/>
      <c r="AL282" s="16">
        <f t="shared" si="53"/>
        <v>0</v>
      </c>
      <c r="AM282" s="16"/>
      <c r="AN282" s="16">
        <f t="shared" si="54"/>
        <v>0</v>
      </c>
      <c r="AO282" s="16"/>
      <c r="AP282" s="16">
        <f t="shared" si="55"/>
        <v>0</v>
      </c>
      <c r="AQ282" s="16"/>
      <c r="AR282" s="16">
        <f t="shared" si="60"/>
        <v>0</v>
      </c>
      <c r="AS282" s="16"/>
      <c r="AT282" s="16">
        <f t="shared" si="56"/>
        <v>0</v>
      </c>
      <c r="AU282" s="16"/>
      <c r="AV282" s="16">
        <f t="shared" si="37"/>
        <v>0</v>
      </c>
      <c r="AW282" s="16"/>
      <c r="AX282" s="16">
        <f t="shared" si="38"/>
        <v>0</v>
      </c>
      <c r="AY282" s="16"/>
      <c r="AZ282" s="16">
        <f t="shared" si="61"/>
        <v>0</v>
      </c>
      <c r="BA282" s="16"/>
      <c r="BB282" s="16">
        <f t="shared" si="57"/>
        <v>0</v>
      </c>
      <c r="BC282" s="11">
        <f t="shared" si="63"/>
        <v>0</v>
      </c>
      <c r="BD282" s="17"/>
      <c r="BE282" s="17"/>
      <c r="BF282" s="17"/>
      <c r="BG282" s="16">
        <f t="shared" si="66"/>
        <v>0</v>
      </c>
      <c r="BH282" s="17"/>
      <c r="BI282" s="17"/>
    </row>
    <row r="283" spans="1:61" ht="12.75">
      <c r="A283" s="55"/>
      <c r="B283" s="55"/>
      <c r="C283" s="55"/>
      <c r="D283" s="55"/>
      <c r="E283" s="17"/>
      <c r="F283" s="16">
        <f t="shared" si="41"/>
        <v>0</v>
      </c>
      <c r="G283" s="17"/>
      <c r="H283" s="16">
        <f t="shared" si="42"/>
        <v>0</v>
      </c>
      <c r="I283" s="16"/>
      <c r="J283" s="16">
        <f t="shared" si="43"/>
        <v>0</v>
      </c>
      <c r="K283" s="16"/>
      <c r="L283" s="16">
        <f t="shared" si="44"/>
        <v>0</v>
      </c>
      <c r="M283" s="16"/>
      <c r="N283" s="16">
        <f t="shared" si="45"/>
        <v>0</v>
      </c>
      <c r="O283" s="16"/>
      <c r="P283" s="16">
        <f t="shared" si="58"/>
        <v>0</v>
      </c>
      <c r="Q283" s="16"/>
      <c r="R283" s="16">
        <f t="shared" si="65"/>
        <v>0</v>
      </c>
      <c r="S283" s="16"/>
      <c r="T283" s="16">
        <f t="shared" si="46"/>
        <v>0</v>
      </c>
      <c r="U283" s="16"/>
      <c r="V283" s="16">
        <f t="shared" si="47"/>
        <v>0</v>
      </c>
      <c r="W283" s="16"/>
      <c r="X283" s="16">
        <f t="shared" si="48"/>
        <v>0</v>
      </c>
      <c r="Y283" s="16"/>
      <c r="Z283" s="16">
        <f t="shared" si="59"/>
        <v>0</v>
      </c>
      <c r="AA283" s="16"/>
      <c r="AB283" s="16">
        <f t="shared" si="49"/>
        <v>0</v>
      </c>
      <c r="AC283" s="16"/>
      <c r="AD283" s="16">
        <f t="shared" si="50"/>
        <v>0</v>
      </c>
      <c r="AE283" s="16"/>
      <c r="AF283" s="16">
        <f t="shared" si="33"/>
        <v>0</v>
      </c>
      <c r="AG283" s="16"/>
      <c r="AH283" s="16">
        <f t="shared" si="51"/>
        <v>0</v>
      </c>
      <c r="AI283" s="16"/>
      <c r="AJ283" s="16">
        <f t="shared" si="52"/>
        <v>0</v>
      </c>
      <c r="AK283" s="16"/>
      <c r="AL283" s="16">
        <f t="shared" si="53"/>
        <v>0</v>
      </c>
      <c r="AM283" s="16"/>
      <c r="AN283" s="16">
        <f t="shared" si="54"/>
        <v>0</v>
      </c>
      <c r="AO283" s="16"/>
      <c r="AP283" s="16">
        <f t="shared" si="55"/>
        <v>0</v>
      </c>
      <c r="AQ283" s="16"/>
      <c r="AR283" s="16">
        <f t="shared" si="60"/>
        <v>0</v>
      </c>
      <c r="AS283" s="16"/>
      <c r="AT283" s="16">
        <f t="shared" si="56"/>
        <v>0</v>
      </c>
      <c r="AU283" s="16"/>
      <c r="AV283" s="16">
        <f t="shared" si="37"/>
        <v>0</v>
      </c>
      <c r="AW283" s="16"/>
      <c r="AX283" s="16">
        <f t="shared" si="38"/>
        <v>0</v>
      </c>
      <c r="AY283" s="16"/>
      <c r="AZ283" s="16">
        <f t="shared" si="61"/>
        <v>0</v>
      </c>
      <c r="BA283" s="16"/>
      <c r="BB283" s="16">
        <f t="shared" si="57"/>
        <v>0</v>
      </c>
      <c r="BC283" s="11">
        <f t="shared" si="39"/>
        <v>0</v>
      </c>
      <c r="BD283" s="17"/>
      <c r="BE283" s="17"/>
      <c r="BF283" s="17"/>
      <c r="BG283" s="16">
        <f>+BF283*21632</f>
        <v>0</v>
      </c>
      <c r="BH283" s="17"/>
      <c r="BI283" s="17"/>
    </row>
    <row r="284" spans="5:61" ht="12.75">
      <c r="E284" s="82">
        <f>SUM(E3:E283)</f>
        <v>29762</v>
      </c>
      <c r="F284" s="82">
        <f aca="true" t="shared" si="67" ref="F284:BI284">SUM(F3:F283)</f>
        <v>10701928</v>
      </c>
      <c r="G284" s="82">
        <f t="shared" si="67"/>
        <v>25716</v>
      </c>
      <c r="H284" s="82">
        <f t="shared" si="67"/>
        <v>8592885.600000001</v>
      </c>
      <c r="I284" s="82">
        <f t="shared" si="67"/>
        <v>10269</v>
      </c>
      <c r="J284" s="82">
        <f t="shared" si="67"/>
        <v>43278671.99999999</v>
      </c>
      <c r="K284" s="82">
        <f t="shared" si="67"/>
        <v>128</v>
      </c>
      <c r="L284" s="82">
        <f t="shared" si="67"/>
        <v>815398.7699999999</v>
      </c>
      <c r="M284" s="82">
        <f t="shared" si="67"/>
        <v>5620</v>
      </c>
      <c r="N284" s="82">
        <f t="shared" si="67"/>
        <v>18924849.6</v>
      </c>
      <c r="O284" s="82">
        <f t="shared" si="67"/>
        <v>0</v>
      </c>
      <c r="P284" s="82">
        <f t="shared" si="67"/>
        <v>0</v>
      </c>
      <c r="Q284" s="82">
        <f t="shared" si="67"/>
        <v>41032</v>
      </c>
      <c r="R284" s="82">
        <f t="shared" si="67"/>
        <v>1130261080</v>
      </c>
      <c r="S284" s="82">
        <f t="shared" si="67"/>
        <v>21147</v>
      </c>
      <c r="T284" s="82">
        <f t="shared" si="67"/>
        <v>44824720</v>
      </c>
      <c r="U284" s="82">
        <f t="shared" si="67"/>
        <v>21214</v>
      </c>
      <c r="V284" s="82">
        <f t="shared" si="67"/>
        <v>26650763.539999995</v>
      </c>
      <c r="W284" s="82">
        <f t="shared" si="67"/>
        <v>4071</v>
      </c>
      <c r="X284" s="82">
        <f t="shared" si="67"/>
        <v>2975086.8</v>
      </c>
      <c r="Y284" s="82">
        <f t="shared" si="67"/>
        <v>9784</v>
      </c>
      <c r="Z284" s="82">
        <f t="shared" si="67"/>
        <v>57598408</v>
      </c>
      <c r="AA284" s="82">
        <f t="shared" si="67"/>
        <v>6229</v>
      </c>
      <c r="AB284" s="82">
        <f t="shared" si="67"/>
        <v>90642541.6</v>
      </c>
      <c r="AC284" s="82">
        <f t="shared" si="67"/>
        <v>21948</v>
      </c>
      <c r="AD284" s="82">
        <f t="shared" si="67"/>
        <v>16515433.799999999</v>
      </c>
      <c r="AE284" s="82">
        <f t="shared" si="67"/>
        <v>22207</v>
      </c>
      <c r="AF284" s="82">
        <f t="shared" si="67"/>
        <v>73888714.88000001</v>
      </c>
      <c r="AG284" s="82">
        <f t="shared" si="67"/>
        <v>12112</v>
      </c>
      <c r="AH284" s="82">
        <f t="shared" si="67"/>
        <v>89907972.57999997</v>
      </c>
      <c r="AI284" s="82">
        <f t="shared" si="67"/>
        <v>16943</v>
      </c>
      <c r="AJ284" s="82">
        <f t="shared" si="67"/>
        <v>6864532</v>
      </c>
      <c r="AK284" s="82">
        <f t="shared" si="67"/>
        <v>23347</v>
      </c>
      <c r="AL284" s="82">
        <f t="shared" si="67"/>
        <v>1767567.4</v>
      </c>
      <c r="AM284" s="82">
        <f t="shared" si="67"/>
        <v>241</v>
      </c>
      <c r="AN284" s="82">
        <f t="shared" si="67"/>
        <v>60129222.819999985</v>
      </c>
      <c r="AO284" s="82">
        <f t="shared" si="67"/>
        <v>33303</v>
      </c>
      <c r="AP284" s="82">
        <f t="shared" si="67"/>
        <v>15490531.2</v>
      </c>
      <c r="AQ284" s="82">
        <f t="shared" si="67"/>
        <v>15257</v>
      </c>
      <c r="AR284" s="82">
        <f t="shared" si="67"/>
        <v>4955473.6</v>
      </c>
      <c r="AS284" s="82">
        <f t="shared" si="67"/>
        <v>28984</v>
      </c>
      <c r="AT284" s="82">
        <f t="shared" si="67"/>
        <v>9389276.200000001</v>
      </c>
      <c r="AU284" s="82">
        <f t="shared" si="67"/>
        <v>25508</v>
      </c>
      <c r="AV284" s="82">
        <f t="shared" si="67"/>
        <v>204523102.4</v>
      </c>
      <c r="AW284" s="82">
        <f t="shared" si="67"/>
        <v>24516</v>
      </c>
      <c r="AX284" s="82">
        <f t="shared" si="67"/>
        <v>174376838.83999997</v>
      </c>
      <c r="AY284" s="82">
        <f t="shared" si="67"/>
        <v>15032</v>
      </c>
      <c r="AZ284" s="82">
        <f t="shared" si="67"/>
        <v>48546294.96</v>
      </c>
      <c r="BA284" s="82">
        <f t="shared" si="67"/>
        <v>28385</v>
      </c>
      <c r="BB284" s="82">
        <f t="shared" si="67"/>
        <v>203129082.45000002</v>
      </c>
      <c r="BC284" s="11">
        <f t="shared" si="39"/>
        <v>2344750377.04</v>
      </c>
      <c r="BD284" s="82">
        <f t="shared" si="67"/>
        <v>251600</v>
      </c>
      <c r="BE284" s="82">
        <f t="shared" si="67"/>
        <v>110905280</v>
      </c>
      <c r="BF284" s="82">
        <f t="shared" si="67"/>
        <v>41067</v>
      </c>
      <c r="BG284" s="82">
        <f t="shared" si="67"/>
        <v>934689797.33</v>
      </c>
      <c r="BH284" s="82">
        <f t="shared" si="67"/>
        <v>44515</v>
      </c>
      <c r="BI284" s="82">
        <f t="shared" si="67"/>
        <v>313238097.43999994</v>
      </c>
    </row>
  </sheetData>
  <autoFilter ref="A2:D283"/>
  <mergeCells count="29">
    <mergeCell ref="W1:X1"/>
    <mergeCell ref="A1:D1"/>
    <mergeCell ref="G1:H1"/>
    <mergeCell ref="I1:J1"/>
    <mergeCell ref="K1:L1"/>
    <mergeCell ref="M1:N1"/>
    <mergeCell ref="Q1:R1"/>
    <mergeCell ref="S1:T1"/>
    <mergeCell ref="U1:V1"/>
    <mergeCell ref="O1:P1"/>
    <mergeCell ref="Y1:Z1"/>
    <mergeCell ref="AA1:AB1"/>
    <mergeCell ref="AC1:AD1"/>
    <mergeCell ref="AU1:AV1"/>
    <mergeCell ref="AE1:AF1"/>
    <mergeCell ref="AG1:AH1"/>
    <mergeCell ref="AI1:AJ1"/>
    <mergeCell ref="AK1:AL1"/>
    <mergeCell ref="AM1:AN1"/>
    <mergeCell ref="BF1:BG1"/>
    <mergeCell ref="BH1:BI1"/>
    <mergeCell ref="E1:F1"/>
    <mergeCell ref="AY1:AZ1"/>
    <mergeCell ref="BA1:BB1"/>
    <mergeCell ref="BD1:BE1"/>
    <mergeCell ref="AO1:AP1"/>
    <mergeCell ref="AQ1:AR1"/>
    <mergeCell ref="AS1:AT1"/>
    <mergeCell ref="AW1:AX1"/>
  </mergeCells>
  <printOptions/>
  <pageMargins left="0.75" right="0.75" top="1" bottom="1"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CUEVAS MARÍN - D.A.E.</dc:creator>
  <cp:keywords/>
  <dc:description/>
  <cp:lastModifiedBy>Jefe_Apoyo</cp:lastModifiedBy>
  <cp:lastPrinted>2000-04-25T23:57:36Z</cp:lastPrinted>
  <dcterms:created xsi:type="dcterms:W3CDTF">1998-07-31T14:15:34Z</dcterms:created>
  <dcterms:modified xsi:type="dcterms:W3CDTF">2010-04-16T15:45:28Z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